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pormas-my.sharepoint.com/personal/b01018_gfvepormas_com/Documents/Documentos/Respaldo RAAF/Simuladores/Simuladores caja de herramientas/Simuladores Marzo 2023/Simuladores Enero 2026/"/>
    </mc:Choice>
  </mc:AlternateContent>
  <xr:revisionPtr revIDLastSave="0" documentId="8_{ADDACE27-C6A3-4001-B047-D4B66E94E215}" xr6:coauthVersionLast="47" xr6:coauthVersionMax="47" xr10:uidLastSave="{00000000-0000-0000-0000-000000000000}"/>
  <workbookProtection workbookAlgorithmName="SHA-512" workbookHashValue="LWwxifUV39k8S/lyzszhXx8OUwWtCIieaU1apubUzojrNLghm01NDIAwt/69lsVRB7HNzNuKqaQCbOKYu/UdOg==" workbookSaltValue="t2vcX26W5Rfrn8vR2hK/DQ==" workbookSpinCount="100000" lockStructure="1"/>
  <bookViews>
    <workbookView showSheetTabs="0" xWindow="-110" yWindow="-110" windowWidth="19420" windowHeight="11020" xr2:uid="{00000000-000D-0000-FFFF-FFFF00000000}"/>
  </bookViews>
  <sheets>
    <sheet name="Simulador CH BX+" sheetId="27" r:id="rId1"/>
    <sheet name="VResPlus" sheetId="7" state="hidden" r:id="rId2"/>
  </sheets>
  <definedNames>
    <definedName name="_xlnm.Print_Area" localSheetId="0">'Simulador CH BX+'!$A$1:$P$292</definedName>
    <definedName name="OCHENTA">VResPlus!$H$76:$H$81</definedName>
    <definedName name="OCHENTA_Y_CINCO">VResPlus!$H$84:$H$87</definedName>
    <definedName name="SETENTA">VResPlus!$H$69:$H$73</definedName>
    <definedName name="_xlnm.Print_Titles" localSheetId="0">'Simulador CH BX+'!$36:$36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1" i="27" l="1"/>
  <c r="C56" i="7" s="1"/>
  <c r="C10" i="7"/>
  <c r="D16" i="27" s="1"/>
  <c r="C9" i="7"/>
  <c r="C57" i="7" l="1"/>
  <c r="C55" i="7"/>
  <c r="D33" i="27"/>
  <c r="F11" i="7" l="1"/>
  <c r="F10" i="7" l="1"/>
  <c r="C59" i="7" l="1"/>
  <c r="AA36" i="27" l="1"/>
  <c r="D50" i="7" l="1"/>
  <c r="D49" i="7"/>
  <c r="D48" i="7"/>
  <c r="F17" i="7" s="1"/>
  <c r="F19" i="7" s="1"/>
  <c r="F15" i="7" l="1"/>
  <c r="F16" i="7" s="1"/>
  <c r="F9" i="7" l="1"/>
  <c r="AA22" i="27"/>
  <c r="B29" i="27"/>
  <c r="M185" i="7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 s="1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 s="1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 s="1"/>
  <c r="M239" i="7" s="1"/>
  <c r="M240" i="7" s="1"/>
  <c r="M241" i="7" s="1"/>
  <c r="M242" i="7" s="1"/>
  <c r="M243" i="7" s="1"/>
  <c r="M244" i="7" s="1"/>
  <c r="M245" i="7" s="1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C8" i="7"/>
  <c r="F8" i="7" s="1"/>
  <c r="F27" i="7"/>
  <c r="F28" i="7" s="1"/>
  <c r="AI12" i="27"/>
  <c r="F12" i="27" s="1"/>
  <c r="C11" i="7"/>
  <c r="C13" i="7"/>
  <c r="C7" i="7"/>
  <c r="F26" i="7" s="1"/>
  <c r="AG16" i="27"/>
  <c r="D31" i="27" s="1"/>
  <c r="AD16" i="27"/>
  <c r="B31" i="27" s="1"/>
  <c r="H24" i="27"/>
  <c r="F36" i="7" s="1"/>
  <c r="AD15" i="27"/>
  <c r="B27" i="27" s="1"/>
  <c r="AD14" i="27"/>
  <c r="AD12" i="27"/>
  <c r="AD13" i="27"/>
  <c r="C40" i="27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F35" i="7"/>
  <c r="F34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6" i="7"/>
  <c r="T125" i="7"/>
  <c r="T137" i="7"/>
  <c r="T149" i="7"/>
  <c r="T161" i="7"/>
  <c r="T65" i="7"/>
  <c r="T77" i="7"/>
  <c r="T89" i="7"/>
  <c r="T101" i="7"/>
  <c r="T113" i="7"/>
  <c r="F41" i="7"/>
  <c r="H14" i="27" s="1"/>
  <c r="H29" i="7"/>
  <c r="H28" i="7"/>
  <c r="H27" i="7"/>
  <c r="H26" i="7"/>
  <c r="H25" i="7"/>
  <c r="H24" i="7"/>
  <c r="H23" i="7"/>
  <c r="H22" i="7"/>
  <c r="H21" i="7"/>
  <c r="T53" i="7"/>
  <c r="T41" i="7"/>
  <c r="T29" i="7"/>
  <c r="T17" i="7"/>
  <c r="F22" i="7"/>
  <c r="AH245" i="7" l="1"/>
  <c r="AH241" i="7"/>
  <c r="AH237" i="7"/>
  <c r="AH233" i="7"/>
  <c r="AH229" i="7"/>
  <c r="AH225" i="7"/>
  <c r="AH221" i="7"/>
  <c r="AH217" i="7"/>
  <c r="AH213" i="7"/>
  <c r="AH209" i="7"/>
  <c r="AH205" i="7"/>
  <c r="AH201" i="7"/>
  <c r="AH197" i="7"/>
  <c r="AH193" i="7"/>
  <c r="AH189" i="7"/>
  <c r="AH185" i="7"/>
  <c r="AH181" i="7"/>
  <c r="AH177" i="7"/>
  <c r="AH173" i="7"/>
  <c r="AH169" i="7"/>
  <c r="AH165" i="7"/>
  <c r="AH161" i="7"/>
  <c r="AH157" i="7"/>
  <c r="AH153" i="7"/>
  <c r="AH149" i="7"/>
  <c r="AH145" i="7"/>
  <c r="AH141" i="7"/>
  <c r="AH137" i="7"/>
  <c r="AH133" i="7"/>
  <c r="AH129" i="7"/>
  <c r="AH125" i="7"/>
  <c r="AH121" i="7"/>
  <c r="AH117" i="7"/>
  <c r="AH113" i="7"/>
  <c r="AH109" i="7"/>
  <c r="AH105" i="7"/>
  <c r="AH101" i="7"/>
  <c r="AH97" i="7"/>
  <c r="AH93" i="7"/>
  <c r="AH89" i="7"/>
  <c r="AH85" i="7"/>
  <c r="AH81" i="7"/>
  <c r="AH77" i="7"/>
  <c r="AH73" i="7"/>
  <c r="AH69" i="7"/>
  <c r="AH65" i="7"/>
  <c r="AH61" i="7"/>
  <c r="AH57" i="7"/>
  <c r="AH53" i="7"/>
  <c r="AH49" i="7"/>
  <c r="AH45" i="7"/>
  <c r="AH41" i="7"/>
  <c r="AH37" i="7"/>
  <c r="AH33" i="7"/>
  <c r="AH29" i="7"/>
  <c r="AH25" i="7"/>
  <c r="AH21" i="7"/>
  <c r="AH17" i="7"/>
  <c r="AH13" i="7"/>
  <c r="AH9" i="7"/>
  <c r="AH244" i="7"/>
  <c r="AH240" i="7"/>
  <c r="AH236" i="7"/>
  <c r="AH232" i="7"/>
  <c r="AH228" i="7"/>
  <c r="AH224" i="7"/>
  <c r="AH220" i="7"/>
  <c r="AH216" i="7"/>
  <c r="AH212" i="7"/>
  <c r="AH208" i="7"/>
  <c r="AH204" i="7"/>
  <c r="AH200" i="7"/>
  <c r="AH196" i="7"/>
  <c r="AH192" i="7"/>
  <c r="AH188" i="7"/>
  <c r="AH184" i="7"/>
  <c r="AH180" i="7"/>
  <c r="AH176" i="7"/>
  <c r="AH172" i="7"/>
  <c r="AH168" i="7"/>
  <c r="AH164" i="7"/>
  <c r="AH160" i="7"/>
  <c r="AH156" i="7"/>
  <c r="AH152" i="7"/>
  <c r="AH148" i="7"/>
  <c r="AH239" i="7"/>
  <c r="AH231" i="7"/>
  <c r="AH223" i="7"/>
  <c r="AH215" i="7"/>
  <c r="AH207" i="7"/>
  <c r="AH199" i="7"/>
  <c r="AH191" i="7"/>
  <c r="AH183" i="7"/>
  <c r="AH175" i="7"/>
  <c r="AH167" i="7"/>
  <c r="AH159" i="7"/>
  <c r="AH151" i="7"/>
  <c r="AH144" i="7"/>
  <c r="AH139" i="7"/>
  <c r="AH134" i="7"/>
  <c r="AH128" i="7"/>
  <c r="AH123" i="7"/>
  <c r="AH118" i="7"/>
  <c r="AH112" i="7"/>
  <c r="AH107" i="7"/>
  <c r="AH102" i="7"/>
  <c r="AH96" i="7"/>
  <c r="AH91" i="7"/>
  <c r="AH86" i="7"/>
  <c r="AH80" i="7"/>
  <c r="AH75" i="7"/>
  <c r="AH70" i="7"/>
  <c r="AH64" i="7"/>
  <c r="AH59" i="7"/>
  <c r="AH54" i="7"/>
  <c r="AH48" i="7"/>
  <c r="AH43" i="7"/>
  <c r="AH38" i="7"/>
  <c r="AH32" i="7"/>
  <c r="AH27" i="7"/>
  <c r="AH22" i="7"/>
  <c r="AH16" i="7"/>
  <c r="AH11" i="7"/>
  <c r="AH6" i="7"/>
  <c r="AH238" i="7"/>
  <c r="AH230" i="7"/>
  <c r="AH222" i="7"/>
  <c r="AH214" i="7"/>
  <c r="AH206" i="7"/>
  <c r="AH198" i="7"/>
  <c r="AH190" i="7"/>
  <c r="AH182" i="7"/>
  <c r="AH174" i="7"/>
  <c r="AH166" i="7"/>
  <c r="AH158" i="7"/>
  <c r="AH150" i="7"/>
  <c r="AH143" i="7"/>
  <c r="AH138" i="7"/>
  <c r="AH132" i="7"/>
  <c r="AH127" i="7"/>
  <c r="AH122" i="7"/>
  <c r="AH116" i="7"/>
  <c r="AH111" i="7"/>
  <c r="AH106" i="7"/>
  <c r="AH100" i="7"/>
  <c r="AH95" i="7"/>
  <c r="AH90" i="7"/>
  <c r="AH84" i="7"/>
  <c r="AH79" i="7"/>
  <c r="AH74" i="7"/>
  <c r="AH68" i="7"/>
  <c r="AH63" i="7"/>
  <c r="AH58" i="7"/>
  <c r="AH52" i="7"/>
  <c r="AH47" i="7"/>
  <c r="AH42" i="7"/>
  <c r="AH36" i="7"/>
  <c r="AH31" i="7"/>
  <c r="AH26" i="7"/>
  <c r="AH20" i="7"/>
  <c r="AH15" i="7"/>
  <c r="AH10" i="7"/>
  <c r="AH243" i="7"/>
  <c r="AH235" i="7"/>
  <c r="AH227" i="7"/>
  <c r="AH219" i="7"/>
  <c r="AH211" i="7"/>
  <c r="AH203" i="7"/>
  <c r="AH195" i="7"/>
  <c r="AH187" i="7"/>
  <c r="AH234" i="7"/>
  <c r="AH202" i="7"/>
  <c r="AH178" i="7"/>
  <c r="AH162" i="7"/>
  <c r="AH146" i="7"/>
  <c r="AH135" i="7"/>
  <c r="AH124" i="7"/>
  <c r="AH114" i="7"/>
  <c r="AH103" i="7"/>
  <c r="AH92" i="7"/>
  <c r="AH82" i="7"/>
  <c r="AH71" i="7"/>
  <c r="AH60" i="7"/>
  <c r="AH50" i="7"/>
  <c r="AH39" i="7"/>
  <c r="AH28" i="7"/>
  <c r="AH18" i="7"/>
  <c r="AH7" i="7"/>
  <c r="AH226" i="7"/>
  <c r="AH194" i="7"/>
  <c r="AH171" i="7"/>
  <c r="AH155" i="7"/>
  <c r="AH142" i="7"/>
  <c r="AH131" i="7"/>
  <c r="AH120" i="7"/>
  <c r="AH110" i="7"/>
  <c r="AH99" i="7"/>
  <c r="AH88" i="7"/>
  <c r="AH78" i="7"/>
  <c r="AH67" i="7"/>
  <c r="AH56" i="7"/>
  <c r="AH46" i="7"/>
  <c r="AH35" i="7"/>
  <c r="AH24" i="7"/>
  <c r="AH14" i="7"/>
  <c r="AH218" i="7"/>
  <c r="AH186" i="7"/>
  <c r="AH170" i="7"/>
  <c r="AH154" i="7"/>
  <c r="AH140" i="7"/>
  <c r="AH130" i="7"/>
  <c r="AH119" i="7"/>
  <c r="AH108" i="7"/>
  <c r="AH98" i="7"/>
  <c r="AH87" i="7"/>
  <c r="AH76" i="7"/>
  <c r="AH66" i="7"/>
  <c r="AH55" i="7"/>
  <c r="AH44" i="7"/>
  <c r="AH34" i="7"/>
  <c r="AH23" i="7"/>
  <c r="AH12" i="7"/>
  <c r="AH242" i="7"/>
  <c r="AH210" i="7"/>
  <c r="AH179" i="7"/>
  <c r="AH163" i="7"/>
  <c r="AH147" i="7"/>
  <c r="AH136" i="7"/>
  <c r="AH126" i="7"/>
  <c r="AH115" i="7"/>
  <c r="AH104" i="7"/>
  <c r="AH94" i="7"/>
  <c r="AH83" i="7"/>
  <c r="AH72" i="7"/>
  <c r="AH62" i="7"/>
  <c r="AH51" i="7"/>
  <c r="AH40" i="7"/>
  <c r="AH30" i="7"/>
  <c r="AH19" i="7"/>
  <c r="AH8" i="7"/>
  <c r="Y246" i="7"/>
  <c r="H21" i="27"/>
  <c r="F20" i="7"/>
  <c r="AG6" i="7" s="1"/>
  <c r="F29" i="7"/>
  <c r="F30" i="7" s="1"/>
  <c r="F18" i="7"/>
  <c r="AG244" i="7" l="1"/>
  <c r="AG240" i="7"/>
  <c r="AG236" i="7"/>
  <c r="AG232" i="7"/>
  <c r="AG228" i="7"/>
  <c r="AG224" i="7"/>
  <c r="AG220" i="7"/>
  <c r="AG216" i="7"/>
  <c r="AG212" i="7"/>
  <c r="AG208" i="7"/>
  <c r="AG204" i="7"/>
  <c r="AG200" i="7"/>
  <c r="AG196" i="7"/>
  <c r="AG192" i="7"/>
  <c r="AG188" i="7"/>
  <c r="AG184" i="7"/>
  <c r="AG180" i="7"/>
  <c r="AG176" i="7"/>
  <c r="AG172" i="7"/>
  <c r="AG168" i="7"/>
  <c r="AG164" i="7"/>
  <c r="AG160" i="7"/>
  <c r="AG156" i="7"/>
  <c r="AG152" i="7"/>
  <c r="AG148" i="7"/>
  <c r="AG243" i="7"/>
  <c r="AG238" i="7"/>
  <c r="AG233" i="7"/>
  <c r="AG227" i="7"/>
  <c r="AG222" i="7"/>
  <c r="AG217" i="7"/>
  <c r="AG211" i="7"/>
  <c r="AG206" i="7"/>
  <c r="AG201" i="7"/>
  <c r="AG195" i="7"/>
  <c r="AG190" i="7"/>
  <c r="AG185" i="7"/>
  <c r="AG179" i="7"/>
  <c r="AG174" i="7"/>
  <c r="AG169" i="7"/>
  <c r="AG163" i="7"/>
  <c r="AG158" i="7"/>
  <c r="AG153" i="7"/>
  <c r="AG147" i="7"/>
  <c r="AG143" i="7"/>
  <c r="AG139" i="7"/>
  <c r="AG135" i="7"/>
  <c r="AG131" i="7"/>
  <c r="AG127" i="7"/>
  <c r="AG123" i="7"/>
  <c r="AG119" i="7"/>
  <c r="AG115" i="7"/>
  <c r="AG111" i="7"/>
  <c r="AG107" i="7"/>
  <c r="AG103" i="7"/>
  <c r="AG99" i="7"/>
  <c r="AG95" i="7"/>
  <c r="AG91" i="7"/>
  <c r="AG87" i="7"/>
  <c r="AG83" i="7"/>
  <c r="AG79" i="7"/>
  <c r="AG75" i="7"/>
  <c r="AG71" i="7"/>
  <c r="AG67" i="7"/>
  <c r="AG63" i="7"/>
  <c r="AG59" i="7"/>
  <c r="AG55" i="7"/>
  <c r="AG51" i="7"/>
  <c r="AG47" i="7"/>
  <c r="AG43" i="7"/>
  <c r="AG39" i="7"/>
  <c r="AG35" i="7"/>
  <c r="AG31" i="7"/>
  <c r="AG27" i="7"/>
  <c r="AG23" i="7"/>
  <c r="AG19" i="7"/>
  <c r="AG15" i="7"/>
  <c r="AG11" i="7"/>
  <c r="AG7" i="7"/>
  <c r="AG242" i="7"/>
  <c r="AG237" i="7"/>
  <c r="AG231" i="7"/>
  <c r="AG226" i="7"/>
  <c r="AG221" i="7"/>
  <c r="AG215" i="7"/>
  <c r="AG210" i="7"/>
  <c r="AG205" i="7"/>
  <c r="AG199" i="7"/>
  <c r="AG194" i="7"/>
  <c r="AG189" i="7"/>
  <c r="AG183" i="7"/>
  <c r="AG178" i="7"/>
  <c r="AG173" i="7"/>
  <c r="AG167" i="7"/>
  <c r="AG162" i="7"/>
  <c r="AG157" i="7"/>
  <c r="AG151" i="7"/>
  <c r="AG146" i="7"/>
  <c r="AG142" i="7"/>
  <c r="AG138" i="7"/>
  <c r="AG134" i="7"/>
  <c r="AG130" i="7"/>
  <c r="AG126" i="7"/>
  <c r="AG122" i="7"/>
  <c r="AG118" i="7"/>
  <c r="AG235" i="7"/>
  <c r="AG225" i="7"/>
  <c r="AG214" i="7"/>
  <c r="AG203" i="7"/>
  <c r="AG193" i="7"/>
  <c r="AG182" i="7"/>
  <c r="AG171" i="7"/>
  <c r="AG161" i="7"/>
  <c r="AG150" i="7"/>
  <c r="AG141" i="7"/>
  <c r="AG133" i="7"/>
  <c r="AG125" i="7"/>
  <c r="AG117" i="7"/>
  <c r="AG112" i="7"/>
  <c r="AG106" i="7"/>
  <c r="AG101" i="7"/>
  <c r="AG96" i="7"/>
  <c r="AG90" i="7"/>
  <c r="AG85" i="7"/>
  <c r="AG80" i="7"/>
  <c r="AG74" i="7"/>
  <c r="AG69" i="7"/>
  <c r="AG64" i="7"/>
  <c r="AG58" i="7"/>
  <c r="AG53" i="7"/>
  <c r="AG48" i="7"/>
  <c r="AG42" i="7"/>
  <c r="AG37" i="7"/>
  <c r="AG32" i="7"/>
  <c r="AG26" i="7"/>
  <c r="AG21" i="7"/>
  <c r="AG16" i="7"/>
  <c r="AG10" i="7"/>
  <c r="AG245" i="7"/>
  <c r="AG234" i="7"/>
  <c r="AG223" i="7"/>
  <c r="AG213" i="7"/>
  <c r="AG202" i="7"/>
  <c r="AG191" i="7"/>
  <c r="AG181" i="7"/>
  <c r="AG170" i="7"/>
  <c r="AG159" i="7"/>
  <c r="AG149" i="7"/>
  <c r="AG140" i="7"/>
  <c r="AG132" i="7"/>
  <c r="AG124" i="7"/>
  <c r="AG116" i="7"/>
  <c r="AG110" i="7"/>
  <c r="AG105" i="7"/>
  <c r="AG100" i="7"/>
  <c r="AG94" i="7"/>
  <c r="AG89" i="7"/>
  <c r="AG84" i="7"/>
  <c r="AG78" i="7"/>
  <c r="AG73" i="7"/>
  <c r="AG68" i="7"/>
  <c r="AG62" i="7"/>
  <c r="AG57" i="7"/>
  <c r="AG52" i="7"/>
  <c r="AG46" i="7"/>
  <c r="AG41" i="7"/>
  <c r="AG36" i="7"/>
  <c r="AG30" i="7"/>
  <c r="AG25" i="7"/>
  <c r="AG20" i="7"/>
  <c r="AG14" i="7"/>
  <c r="AG9" i="7"/>
  <c r="AG241" i="7"/>
  <c r="AG230" i="7"/>
  <c r="AG219" i="7"/>
  <c r="AG209" i="7"/>
  <c r="AG198" i="7"/>
  <c r="AG187" i="7"/>
  <c r="AG177" i="7"/>
  <c r="AG166" i="7"/>
  <c r="AG155" i="7"/>
  <c r="AG145" i="7"/>
  <c r="AG137" i="7"/>
  <c r="AG129" i="7"/>
  <c r="AG121" i="7"/>
  <c r="AG114" i="7"/>
  <c r="AG109" i="7"/>
  <c r="AG104" i="7"/>
  <c r="AG98" i="7"/>
  <c r="AG93" i="7"/>
  <c r="AG88" i="7"/>
  <c r="AG82" i="7"/>
  <c r="AG77" i="7"/>
  <c r="AG72" i="7"/>
  <c r="AG66" i="7"/>
  <c r="AG61" i="7"/>
  <c r="AG56" i="7"/>
  <c r="AG50" i="7"/>
  <c r="AG45" i="7"/>
  <c r="AG40" i="7"/>
  <c r="AG34" i="7"/>
  <c r="AG29" i="7"/>
  <c r="AG24" i="7"/>
  <c r="AG18" i="7"/>
  <c r="AG13" i="7"/>
  <c r="AG8" i="7"/>
  <c r="AG239" i="7"/>
  <c r="AG229" i="7"/>
  <c r="AG218" i="7"/>
  <c r="AG207" i="7"/>
  <c r="AG197" i="7"/>
  <c r="AG186" i="7"/>
  <c r="AG175" i="7"/>
  <c r="AG165" i="7"/>
  <c r="AG154" i="7"/>
  <c r="AG144" i="7"/>
  <c r="AG136" i="7"/>
  <c r="AG128" i="7"/>
  <c r="AG120" i="7"/>
  <c r="AG113" i="7"/>
  <c r="AG108" i="7"/>
  <c r="AG102" i="7"/>
  <c r="AG97" i="7"/>
  <c r="AG92" i="7"/>
  <c r="AG86" i="7"/>
  <c r="AG81" i="7"/>
  <c r="AG76" i="7"/>
  <c r="AG70" i="7"/>
  <c r="AG65" i="7"/>
  <c r="AG60" i="7"/>
  <c r="AG54" i="7"/>
  <c r="AG49" i="7"/>
  <c r="AG44" i="7"/>
  <c r="AG38" i="7"/>
  <c r="AG33" i="7"/>
  <c r="AG28" i="7"/>
  <c r="AG22" i="7"/>
  <c r="AG17" i="7"/>
  <c r="AG12" i="7"/>
  <c r="H22" i="27"/>
  <c r="AI15" i="27"/>
  <c r="B22" i="27" s="1"/>
  <c r="H12" i="27" l="1"/>
  <c r="F12" i="7"/>
  <c r="F42" i="7"/>
  <c r="F39" i="7" s="1"/>
  <c r="H26" i="27" s="1"/>
  <c r="J11" i="7"/>
  <c r="AI5" i="7"/>
  <c r="AA6" i="7"/>
  <c r="O6" i="7"/>
  <c r="V6" i="7" s="1"/>
  <c r="U6" i="7" l="1"/>
  <c r="H39" i="27" s="1"/>
  <c r="I39" i="27"/>
  <c r="AF6" i="7"/>
  <c r="C12" i="7"/>
  <c r="H13" i="27"/>
  <c r="CC12" i="27" s="1"/>
  <c r="D39" i="27"/>
  <c r="W6" i="7"/>
  <c r="J39" i="27" s="1"/>
  <c r="F9" i="27" l="1"/>
  <c r="AA33" i="27"/>
  <c r="E29" i="27" s="1"/>
  <c r="AA25" i="27" l="1"/>
  <c r="F14" i="27" s="1"/>
  <c r="F13" i="27" l="1"/>
  <c r="F38" i="7" l="1"/>
  <c r="G25" i="27" s="1"/>
  <c r="F37" i="7" s="1"/>
  <c r="C33" i="7" l="1"/>
  <c r="N235" i="7" s="1"/>
  <c r="C29" i="7"/>
  <c r="N133" i="7" s="1"/>
  <c r="C25" i="7"/>
  <c r="N83" i="7" s="1"/>
  <c r="C22" i="7"/>
  <c r="N42" i="7" s="1"/>
  <c r="C31" i="7"/>
  <c r="N157" i="7" s="1"/>
  <c r="C30" i="7"/>
  <c r="N149" i="7" s="1"/>
  <c r="C21" i="7"/>
  <c r="N35" i="7" s="1"/>
  <c r="C20" i="7"/>
  <c r="N23" i="7" s="1"/>
  <c r="C32" i="7"/>
  <c r="N170" i="7" s="1"/>
  <c r="C35" i="7"/>
  <c r="C36" i="7"/>
  <c r="C34" i="7"/>
  <c r="I7" i="7"/>
  <c r="C37" i="7"/>
  <c r="C38" i="7"/>
  <c r="C23" i="7"/>
  <c r="C26" i="7"/>
  <c r="N99" i="7" s="1"/>
  <c r="C24" i="7"/>
  <c r="N67" i="7" s="1"/>
  <c r="C27" i="7"/>
  <c r="N108" i="7" s="1"/>
  <c r="C28" i="7"/>
  <c r="N124" i="7" s="1"/>
  <c r="D13" i="27"/>
  <c r="C19" i="7"/>
  <c r="N14" i="7" s="1"/>
  <c r="N161" i="7" l="1"/>
  <c r="N98" i="7"/>
  <c r="N150" i="7"/>
  <c r="N115" i="7"/>
  <c r="N70" i="7"/>
  <c r="N156" i="7"/>
  <c r="N53" i="7"/>
  <c r="N155" i="7"/>
  <c r="N131" i="7"/>
  <c r="N164" i="7"/>
  <c r="N29" i="7"/>
  <c r="N138" i="7"/>
  <c r="N100" i="7"/>
  <c r="N172" i="7"/>
  <c r="N18" i="7"/>
  <c r="N151" i="7"/>
  <c r="N152" i="7"/>
  <c r="N90" i="7"/>
  <c r="N165" i="7"/>
  <c r="N171" i="7"/>
  <c r="N160" i="7"/>
  <c r="N110" i="7"/>
  <c r="N102" i="7"/>
  <c r="N112" i="7"/>
  <c r="N97" i="7"/>
  <c r="N93" i="7"/>
  <c r="N173" i="7"/>
  <c r="N168" i="7"/>
  <c r="N159" i="7"/>
  <c r="N158" i="7"/>
  <c r="N132" i="7"/>
  <c r="N231" i="7"/>
  <c r="N111" i="7"/>
  <c r="N114" i="7"/>
  <c r="N106" i="7"/>
  <c r="N105" i="7"/>
  <c r="N104" i="7"/>
  <c r="N96" i="7"/>
  <c r="N92" i="7"/>
  <c r="N166" i="7"/>
  <c r="N163" i="7"/>
  <c r="N31" i="7"/>
  <c r="N140" i="7"/>
  <c r="N153" i="7"/>
  <c r="N137" i="7"/>
  <c r="N103" i="7"/>
  <c r="N119" i="7"/>
  <c r="N107" i="7"/>
  <c r="N113" i="7"/>
  <c r="N94" i="7"/>
  <c r="N91" i="7"/>
  <c r="N95" i="7"/>
  <c r="N167" i="7"/>
  <c r="N162" i="7"/>
  <c r="N13" i="7"/>
  <c r="N17" i="7"/>
  <c r="N12" i="7"/>
  <c r="N15" i="7"/>
  <c r="N16" i="7"/>
  <c r="N7" i="7"/>
  <c r="N8" i="7"/>
  <c r="N11" i="7"/>
  <c r="N9" i="7"/>
  <c r="N6" i="7"/>
  <c r="N10" i="7"/>
  <c r="F6" i="7"/>
  <c r="N54" i="7"/>
  <c r="N62" i="7"/>
  <c r="N57" i="7"/>
  <c r="N59" i="7"/>
  <c r="N65" i="7"/>
  <c r="N56" i="7"/>
  <c r="N63" i="7"/>
  <c r="N61" i="7"/>
  <c r="N55" i="7"/>
  <c r="N64" i="7"/>
  <c r="N58" i="7"/>
  <c r="N60" i="7"/>
  <c r="N30" i="7"/>
  <c r="N34" i="7"/>
  <c r="N41" i="7"/>
  <c r="N32" i="7"/>
  <c r="N37" i="7"/>
  <c r="N33" i="7"/>
  <c r="N38" i="7"/>
  <c r="N36" i="7"/>
  <c r="N40" i="7"/>
  <c r="N39" i="7"/>
  <c r="N72" i="7"/>
  <c r="N75" i="7"/>
  <c r="N76" i="7"/>
  <c r="N73" i="7"/>
  <c r="N69" i="7"/>
  <c r="N68" i="7"/>
  <c r="N77" i="7"/>
  <c r="N74" i="7"/>
  <c r="N66" i="7"/>
  <c r="N71" i="7"/>
  <c r="N121" i="7"/>
  <c r="N120" i="7"/>
  <c r="N125" i="7"/>
  <c r="N109" i="7"/>
  <c r="N20" i="7"/>
  <c r="N27" i="7"/>
  <c r="N139" i="7"/>
  <c r="N148" i="7"/>
  <c r="N82" i="7"/>
  <c r="N88" i="7"/>
  <c r="N78" i="7"/>
  <c r="N80" i="7"/>
  <c r="N89" i="7"/>
  <c r="N81" i="7"/>
  <c r="N87" i="7"/>
  <c r="N86" i="7"/>
  <c r="N85" i="7"/>
  <c r="N79" i="7"/>
  <c r="N84" i="7"/>
  <c r="N216" i="7"/>
  <c r="N122" i="7"/>
  <c r="N117" i="7"/>
  <c r="N116" i="7"/>
  <c r="N123" i="7"/>
  <c r="N28" i="7"/>
  <c r="N142" i="7"/>
  <c r="N147" i="7"/>
  <c r="N118" i="7"/>
  <c r="N22" i="7"/>
  <c r="N19" i="7"/>
  <c r="N26" i="7"/>
  <c r="N24" i="7"/>
  <c r="N21" i="7"/>
  <c r="N25" i="7"/>
  <c r="N145" i="7"/>
  <c r="N146" i="7"/>
  <c r="N143" i="7"/>
  <c r="N144" i="7"/>
  <c r="N141" i="7"/>
  <c r="N46" i="7"/>
  <c r="N52" i="7"/>
  <c r="N48" i="7"/>
  <c r="N45" i="7"/>
  <c r="N43" i="7"/>
  <c r="N51" i="7"/>
  <c r="N49" i="7"/>
  <c r="N50" i="7"/>
  <c r="N44" i="7"/>
  <c r="N47" i="7"/>
  <c r="N186" i="7"/>
  <c r="N189" i="7"/>
  <c r="N224" i="7"/>
  <c r="N229" i="7"/>
  <c r="N181" i="7"/>
  <c r="N202" i="7"/>
  <c r="N177" i="7"/>
  <c r="N244" i="7"/>
  <c r="N179" i="7"/>
  <c r="N223" i="7"/>
  <c r="N199" i="7"/>
  <c r="N191" i="7"/>
  <c r="N239" i="7"/>
  <c r="N214" i="7"/>
  <c r="N241" i="7"/>
  <c r="N242" i="7"/>
  <c r="N213" i="7"/>
  <c r="N240" i="7"/>
  <c r="N204" i="7"/>
  <c r="N183" i="7"/>
  <c r="N233" i="7"/>
  <c r="N228" i="7"/>
  <c r="N217" i="7"/>
  <c r="N208" i="7"/>
  <c r="N198" i="7"/>
  <c r="N236" i="7"/>
  <c r="N227" i="7"/>
  <c r="N188" i="7"/>
  <c r="N245" i="7"/>
  <c r="N185" i="7"/>
  <c r="N194" i="7"/>
  <c r="N225" i="7"/>
  <c r="N221" i="7"/>
  <c r="N201" i="7"/>
  <c r="N176" i="7"/>
  <c r="N211" i="7"/>
  <c r="N195" i="7"/>
  <c r="N192" i="7"/>
  <c r="N215" i="7"/>
  <c r="N219" i="7"/>
  <c r="N187" i="7"/>
  <c r="N184" i="7"/>
  <c r="N220" i="7"/>
  <c r="N212" i="7"/>
  <c r="N237" i="7"/>
  <c r="N175" i="7"/>
  <c r="N232" i="7"/>
  <c r="N206" i="7"/>
  <c r="N178" i="7"/>
  <c r="N238" i="7"/>
  <c r="N203" i="7"/>
  <c r="N234" i="7"/>
  <c r="N205" i="7"/>
  <c r="N207" i="7"/>
  <c r="N210" i="7"/>
  <c r="N182" i="7"/>
  <c r="N174" i="7"/>
  <c r="N222" i="7"/>
  <c r="N190" i="7"/>
  <c r="N196" i="7"/>
  <c r="N218" i="7"/>
  <c r="N243" i="7"/>
  <c r="N200" i="7"/>
  <c r="N180" i="7"/>
  <c r="N226" i="7"/>
  <c r="N197" i="7"/>
  <c r="N193" i="7"/>
  <c r="N230" i="7"/>
  <c r="N209" i="7"/>
  <c r="N101" i="7"/>
  <c r="N169" i="7"/>
  <c r="N154" i="7"/>
  <c r="N134" i="7"/>
  <c r="N127" i="7"/>
  <c r="N129" i="7"/>
  <c r="N135" i="7"/>
  <c r="N136" i="7"/>
  <c r="N128" i="7"/>
  <c r="N126" i="7"/>
  <c r="N130" i="7"/>
  <c r="AB6" i="7" l="1"/>
  <c r="P6" i="7"/>
  <c r="F7" i="7"/>
  <c r="F14" i="7" s="1"/>
  <c r="AD151" i="7" l="1"/>
  <c r="AD171" i="7"/>
  <c r="AD180" i="7"/>
  <c r="AD179" i="7"/>
  <c r="AD192" i="7"/>
  <c r="AD73" i="7"/>
  <c r="AD206" i="7"/>
  <c r="AD59" i="7"/>
  <c r="AD204" i="7"/>
  <c r="AD189" i="7"/>
  <c r="AD128" i="7"/>
  <c r="AD198" i="7"/>
  <c r="AD104" i="7"/>
  <c r="AD173" i="7"/>
  <c r="AD218" i="7"/>
  <c r="AD187" i="7"/>
  <c r="AD182" i="7"/>
  <c r="AD159" i="7"/>
  <c r="AD52" i="7"/>
  <c r="AD213" i="7"/>
  <c r="AD114" i="7"/>
  <c r="AD98" i="7"/>
  <c r="AD142" i="7"/>
  <c r="AD174" i="7"/>
  <c r="AD228" i="7"/>
  <c r="AD220" i="7"/>
  <c r="AD167" i="7"/>
  <c r="AD74" i="7"/>
  <c r="AD239" i="7"/>
  <c r="AD130" i="7"/>
  <c r="AD227" i="7"/>
  <c r="AD158" i="7"/>
  <c r="AD96" i="7"/>
  <c r="AD143" i="7"/>
  <c r="AD66" i="7"/>
  <c r="AD28" i="7"/>
  <c r="AD217" i="7"/>
  <c r="AD141" i="7"/>
  <c r="AD156" i="7"/>
  <c r="AD95" i="7"/>
  <c r="AD134" i="7"/>
  <c r="AD199" i="7"/>
  <c r="AD231" i="7"/>
  <c r="AD79" i="7"/>
  <c r="AD27" i="7"/>
  <c r="AD87" i="7"/>
  <c r="AD214" i="7"/>
  <c r="AD117" i="7"/>
  <c r="AD157" i="7"/>
  <c r="AD209" i="7"/>
  <c r="AD193" i="7"/>
  <c r="AD51" i="7"/>
  <c r="AD24" i="7"/>
  <c r="AD219" i="7"/>
  <c r="AD238" i="7"/>
  <c r="AD191" i="7"/>
  <c r="AD235" i="7"/>
  <c r="AD194" i="7"/>
  <c r="AD184" i="7"/>
  <c r="AD153" i="7"/>
  <c r="AD221" i="7"/>
  <c r="AD175" i="7"/>
  <c r="AD222" i="7"/>
  <c r="AD161" i="7"/>
  <c r="AD67" i="7"/>
  <c r="AD202" i="7"/>
  <c r="AD230" i="7"/>
  <c r="AD207" i="7"/>
  <c r="AD147" i="7"/>
  <c r="AD102" i="7"/>
  <c r="AD165" i="7"/>
  <c r="AD30" i="7"/>
  <c r="AD82" i="7"/>
  <c r="AD163" i="7"/>
  <c r="AD138" i="7"/>
  <c r="AD56" i="7"/>
  <c r="AD132" i="7"/>
  <c r="AD241" i="7"/>
  <c r="AD123" i="7"/>
  <c r="AD43" i="7"/>
  <c r="AD185" i="7"/>
  <c r="AD72" i="7"/>
  <c r="AD168" i="7"/>
  <c r="AD186" i="7"/>
  <c r="AD35" i="7"/>
  <c r="AD106" i="7"/>
  <c r="AD107" i="7"/>
  <c r="AD172" i="7"/>
  <c r="AD63" i="7"/>
  <c r="AD80" i="7"/>
  <c r="AD188" i="7"/>
  <c r="AD109" i="7"/>
  <c r="AD47" i="7"/>
  <c r="AD229" i="7"/>
  <c r="AD88" i="7"/>
  <c r="AD103" i="7"/>
  <c r="AD208" i="7"/>
  <c r="AD146" i="7"/>
  <c r="AD216" i="7"/>
  <c r="AD140" i="7"/>
  <c r="AD48" i="7"/>
  <c r="AD70" i="7"/>
  <c r="AD240" i="7"/>
  <c r="AD39" i="7"/>
  <c r="AD116" i="7"/>
  <c r="AD69" i="7"/>
  <c r="AD148" i="7"/>
  <c r="AD154" i="7"/>
  <c r="AD101" i="7"/>
  <c r="AD122" i="7"/>
  <c r="AD195" i="7"/>
  <c r="AD149" i="7"/>
  <c r="AD237" i="7"/>
  <c r="AD183" i="7"/>
  <c r="AD44" i="7"/>
  <c r="AD50" i="7"/>
  <c r="AD152" i="7"/>
  <c r="AD40" i="7"/>
  <c r="AD131" i="7"/>
  <c r="AD99" i="7"/>
  <c r="AD22" i="7"/>
  <c r="AD155" i="7"/>
  <c r="AD212" i="7"/>
  <c r="AD112" i="7"/>
  <c r="AD225" i="7"/>
  <c r="AD94" i="7"/>
  <c r="AD205" i="7"/>
  <c r="AD126" i="7"/>
  <c r="AD115" i="7"/>
  <c r="AD100" i="7"/>
  <c r="AD19" i="7"/>
  <c r="AD77" i="7"/>
  <c r="AD21" i="7"/>
  <c r="AD245" i="7"/>
  <c r="AD89" i="7"/>
  <c r="AD26" i="7"/>
  <c r="AD201" i="7"/>
  <c r="AD150" i="7"/>
  <c r="AD223" i="7"/>
  <c r="AD93" i="7"/>
  <c r="AD144" i="7"/>
  <c r="AD145" i="7"/>
  <c r="AD118" i="7"/>
  <c r="AD200" i="7"/>
  <c r="AD15" i="7"/>
  <c r="AD119" i="7"/>
  <c r="AD60" i="7"/>
  <c r="AD164" i="7"/>
  <c r="AD197" i="7"/>
  <c r="AD37" i="7"/>
  <c r="AD81" i="7"/>
  <c r="AD178" i="7"/>
  <c r="AD65" i="7"/>
  <c r="AD49" i="7"/>
  <c r="AD160" i="7"/>
  <c r="AD18" i="7"/>
  <c r="AD11" i="7"/>
  <c r="AD38" i="7"/>
  <c r="AD108" i="7"/>
  <c r="AD110" i="7"/>
  <c r="AD125" i="7"/>
  <c r="AD85" i="7"/>
  <c r="AD33" i="7"/>
  <c r="AD176" i="7"/>
  <c r="AD91" i="7"/>
  <c r="AD139" i="7"/>
  <c r="AD78" i="7"/>
  <c r="AD162" i="7"/>
  <c r="AD25" i="7"/>
  <c r="AD203" i="7"/>
  <c r="AD169" i="7"/>
  <c r="AD8" i="7"/>
  <c r="AD211" i="7"/>
  <c r="AD215" i="7"/>
  <c r="AD190" i="7"/>
  <c r="AD55" i="7"/>
  <c r="AD53" i="7"/>
  <c r="AD64" i="7"/>
  <c r="AD10" i="7"/>
  <c r="AD68" i="7"/>
  <c r="AD58" i="7"/>
  <c r="AD57" i="7"/>
  <c r="AD136" i="7"/>
  <c r="AD17" i="7"/>
  <c r="AD121" i="7"/>
  <c r="AD7" i="7"/>
  <c r="AD34" i="7"/>
  <c r="AD76" i="7"/>
  <c r="AD16" i="7"/>
  <c r="AD233" i="7"/>
  <c r="AD224" i="7"/>
  <c r="AD9" i="7"/>
  <c r="AD170" i="7"/>
  <c r="AD133" i="7"/>
  <c r="AD244" i="7"/>
  <c r="AD120" i="7"/>
  <c r="AD124" i="7"/>
  <c r="AD135" i="7"/>
  <c r="AD232" i="7"/>
  <c r="AD181" i="7"/>
  <c r="AD243" i="7"/>
  <c r="AD41" i="7"/>
  <c r="AD177" i="7"/>
  <c r="AD12" i="7"/>
  <c r="AD36" i="7"/>
  <c r="AD23" i="7"/>
  <c r="AD45" i="7"/>
  <c r="AD84" i="7"/>
  <c r="AD14" i="7"/>
  <c r="AD97" i="7"/>
  <c r="AD90" i="7"/>
  <c r="AD111" i="7"/>
  <c r="AD113" i="7"/>
  <c r="AD20" i="7"/>
  <c r="AD31" i="7"/>
  <c r="AD86" i="7"/>
  <c r="AD6" i="7"/>
  <c r="AI201" i="7"/>
  <c r="AI210" i="7"/>
  <c r="AI230" i="7"/>
  <c r="AI212" i="7"/>
  <c r="AI32" i="7"/>
  <c r="AI33" i="7"/>
  <c r="AI63" i="7"/>
  <c r="AI200" i="7"/>
  <c r="AI226" i="7"/>
  <c r="AI242" i="7"/>
  <c r="AI215" i="7"/>
  <c r="AI113" i="7"/>
  <c r="AI10" i="7"/>
  <c r="AI114" i="7"/>
  <c r="AI101" i="7"/>
  <c r="AI156" i="7"/>
  <c r="AI170" i="7"/>
  <c r="AI57" i="7"/>
  <c r="AI136" i="7"/>
  <c r="AI97" i="7"/>
  <c r="AI205" i="7"/>
  <c r="AI179" i="7"/>
  <c r="AI84" i="7"/>
  <c r="AI177" i="7"/>
  <c r="AI100" i="7"/>
  <c r="AI214" i="7"/>
  <c r="AI103" i="7"/>
  <c r="AI111" i="7"/>
  <c r="AI166" i="7"/>
  <c r="AI202" i="7"/>
  <c r="AI24" i="7"/>
  <c r="AI198" i="7"/>
  <c r="AI64" i="7"/>
  <c r="AI78" i="7"/>
  <c r="AI197" i="7"/>
  <c r="AI18" i="7"/>
  <c r="AI108" i="7"/>
  <c r="AI176" i="7"/>
  <c r="AI92" i="7"/>
  <c r="AI41" i="7"/>
  <c r="AI240" i="7"/>
  <c r="AI203" i="7"/>
  <c r="AI160" i="7"/>
  <c r="AI225" i="7"/>
  <c r="AI167" i="7"/>
  <c r="AI191" i="7"/>
  <c r="AI172" i="7"/>
  <c r="AI115" i="7"/>
  <c r="AI147" i="7"/>
  <c r="AI239" i="7"/>
  <c r="I12" i="7"/>
  <c r="AI56" i="7"/>
  <c r="AI48" i="7"/>
  <c r="AI235" i="7"/>
  <c r="AI236" i="7"/>
  <c r="AI106" i="7"/>
  <c r="AI208" i="7"/>
  <c r="AI186" i="7"/>
  <c r="AI47" i="7"/>
  <c r="AI228" i="7"/>
  <c r="AD196" i="7"/>
  <c r="AD13" i="7"/>
  <c r="AD129" i="7"/>
  <c r="AD210" i="7"/>
  <c r="AD105" i="7"/>
  <c r="AI169" i="7"/>
  <c r="AI150" i="7"/>
  <c r="AI104" i="7"/>
  <c r="AI128" i="7"/>
  <c r="AI90" i="7"/>
  <c r="AI38" i="7"/>
  <c r="AI23" i="7"/>
  <c r="AI39" i="7"/>
  <c r="AI14" i="7"/>
  <c r="AI194" i="7"/>
  <c r="AI131" i="7"/>
  <c r="AI66" i="7"/>
  <c r="AI137" i="7"/>
  <c r="AI237" i="7"/>
  <c r="AI138" i="7"/>
  <c r="AI187" i="7"/>
  <c r="AI46" i="7"/>
  <c r="AI94" i="7"/>
  <c r="AI89" i="7"/>
  <c r="AI233" i="7"/>
  <c r="AI75" i="7"/>
  <c r="AI117" i="7"/>
  <c r="AI96" i="7"/>
  <c r="AI71" i="7"/>
  <c r="AI60" i="7"/>
  <c r="AI99" i="7"/>
  <c r="AI7" i="7"/>
  <c r="AI199" i="7"/>
  <c r="AI27" i="7"/>
  <c r="AI82" i="7"/>
  <c r="AI122" i="7"/>
  <c r="AI30" i="7"/>
  <c r="AI107" i="7"/>
  <c r="AI98" i="7"/>
  <c r="AI13" i="7"/>
  <c r="AI161" i="7"/>
  <c r="AI81" i="7"/>
  <c r="AI146" i="7"/>
  <c r="AI120" i="7"/>
  <c r="AI241" i="7"/>
  <c r="AI135" i="7"/>
  <c r="AI175" i="7"/>
  <c r="AI91" i="7"/>
  <c r="AI129" i="7"/>
  <c r="AI243" i="7"/>
  <c r="AD92" i="7"/>
  <c r="AD62" i="7"/>
  <c r="AD83" i="7"/>
  <c r="AD137" i="7"/>
  <c r="AI43" i="7"/>
  <c r="AI219" i="7"/>
  <c r="AI83" i="7"/>
  <c r="AI87" i="7"/>
  <c r="AI61" i="7"/>
  <c r="AI42" i="7"/>
  <c r="AI127" i="7"/>
  <c r="AI213" i="7"/>
  <c r="AI188" i="7"/>
  <c r="AI162" i="7"/>
  <c r="AI65" i="7"/>
  <c r="AI227" i="7"/>
  <c r="AI139" i="7"/>
  <c r="AI151" i="7"/>
  <c r="AI211" i="7"/>
  <c r="AI40" i="7"/>
  <c r="AI190" i="7"/>
  <c r="AI53" i="7"/>
  <c r="AI174" i="7"/>
  <c r="AD32" i="7"/>
  <c r="AD234" i="7"/>
  <c r="AD61" i="7"/>
  <c r="AD75" i="7"/>
  <c r="AD236" i="7"/>
  <c r="AI6" i="7"/>
  <c r="AD54" i="7"/>
  <c r="AI196" i="7"/>
  <c r="AI195" i="7"/>
  <c r="AI20" i="7"/>
  <c r="AI132" i="7"/>
  <c r="AI95" i="7"/>
  <c r="AI181" i="7"/>
  <c r="AI12" i="7"/>
  <c r="AI19" i="7"/>
  <c r="AI68" i="7"/>
  <c r="AI124" i="7"/>
  <c r="AI69" i="7"/>
  <c r="AI222" i="7"/>
  <c r="AI52" i="7"/>
  <c r="AI85" i="7"/>
  <c r="AI112" i="7"/>
  <c r="AI133" i="7"/>
  <c r="AI184" i="7"/>
  <c r="AI158" i="7"/>
  <c r="AI50" i="7"/>
  <c r="AI77" i="7"/>
  <c r="AI80" i="7"/>
  <c r="AI204" i="7"/>
  <c r="AI223" i="7"/>
  <c r="AI220" i="7"/>
  <c r="AI218" i="7"/>
  <c r="AI216" i="7"/>
  <c r="AI51" i="7"/>
  <c r="AI144" i="7"/>
  <c r="AI153" i="7"/>
  <c r="AI145" i="7"/>
  <c r="AI185" i="7"/>
  <c r="AI37" i="7"/>
  <c r="AI245" i="7"/>
  <c r="AI34" i="7"/>
  <c r="AI35" i="7"/>
  <c r="AI44" i="7"/>
  <c r="AI173" i="7"/>
  <c r="AI88" i="7"/>
  <c r="AI141" i="7"/>
  <c r="AI244" i="7"/>
  <c r="AI165" i="7"/>
  <c r="AI171" i="7"/>
  <c r="AI125" i="7"/>
  <c r="AI93" i="7"/>
  <c r="AI126" i="7"/>
  <c r="AD226" i="7"/>
  <c r="AD29" i="7"/>
  <c r="AD46" i="7"/>
  <c r="AD166" i="7"/>
  <c r="AI28" i="7"/>
  <c r="AI209" i="7"/>
  <c r="AI116" i="7"/>
  <c r="AI31" i="7"/>
  <c r="AI192" i="7"/>
  <c r="AI180" i="7"/>
  <c r="AI17" i="7"/>
  <c r="AI221" i="7"/>
  <c r="AI15" i="7"/>
  <c r="AI45" i="7"/>
  <c r="AI193" i="7"/>
  <c r="AI21" i="7"/>
  <c r="AI119" i="7"/>
  <c r="AD242" i="7"/>
  <c r="AD71" i="7"/>
  <c r="AD127" i="7"/>
  <c r="AD42" i="7"/>
  <c r="AI25" i="7"/>
  <c r="AI164" i="7"/>
  <c r="AI73" i="7"/>
  <c r="AI231" i="7"/>
  <c r="AI26" i="7"/>
  <c r="AI140" i="7"/>
  <c r="AI102" i="7"/>
  <c r="AI134" i="7"/>
  <c r="AI79" i="7"/>
  <c r="AI54" i="7"/>
  <c r="AI55" i="7"/>
  <c r="AI62" i="7"/>
  <c r="AI232" i="7"/>
  <c r="AI86" i="7"/>
  <c r="AI70" i="7"/>
  <c r="AI143" i="7"/>
  <c r="AI234" i="7"/>
  <c r="AI206" i="7"/>
  <c r="AI130" i="7"/>
  <c r="AI121" i="7"/>
  <c r="AI22" i="7"/>
  <c r="AI59" i="7"/>
  <c r="AI154" i="7"/>
  <c r="AI9" i="7"/>
  <c r="AI123" i="7"/>
  <c r="AI67" i="7"/>
  <c r="AI110" i="7"/>
  <c r="AI118" i="7"/>
  <c r="AI155" i="7"/>
  <c r="AI76" i="7"/>
  <c r="AI109" i="7"/>
  <c r="AI105" i="7"/>
  <c r="AI72" i="7"/>
  <c r="AI224" i="7"/>
  <c r="AI207" i="7"/>
  <c r="AI16" i="7"/>
  <c r="AI58" i="7"/>
  <c r="AI183" i="7"/>
  <c r="AI189" i="7"/>
  <c r="AI8" i="7"/>
  <c r="AI152" i="7"/>
  <c r="AI168" i="7"/>
  <c r="AI229" i="7"/>
  <c r="AI74" i="7"/>
  <c r="AI36" i="7"/>
  <c r="R6" i="7"/>
  <c r="AI149" i="7"/>
  <c r="AI238" i="7"/>
  <c r="AI11" i="7"/>
  <c r="AI157" i="7"/>
  <c r="AI159" i="7"/>
  <c r="AI29" i="7"/>
  <c r="AI178" i="7"/>
  <c r="AI49" i="7"/>
  <c r="AI163" i="7"/>
  <c r="AI217" i="7"/>
  <c r="AI182" i="7"/>
  <c r="AI148" i="7"/>
  <c r="AI142" i="7"/>
  <c r="E39" i="27"/>
  <c r="AI246" i="7" l="1"/>
  <c r="AI247" i="7" s="1"/>
  <c r="AI249" i="7" s="1"/>
  <c r="I8" i="7" s="1"/>
  <c r="Q6" i="7"/>
  <c r="AD246" i="7"/>
  <c r="AC6" i="7"/>
  <c r="AJ6" i="7" l="1"/>
  <c r="AA7" i="7"/>
  <c r="AE6" i="7"/>
  <c r="F39" i="27"/>
  <c r="O7" i="7"/>
  <c r="S6" i="7"/>
  <c r="X6" i="7"/>
  <c r="W7" i="7" l="1"/>
  <c r="J40" i="27" s="1"/>
  <c r="R7" i="7"/>
  <c r="P7" i="7"/>
  <c r="V7" i="7"/>
  <c r="I40" i="27" s="1"/>
  <c r="U7" i="7"/>
  <c r="H40" i="27" s="1"/>
  <c r="D40" i="27"/>
  <c r="AB7" i="7"/>
  <c r="AF7" i="7"/>
  <c r="F23" i="7"/>
  <c r="K39" i="27"/>
  <c r="H15" i="27"/>
  <c r="S2" i="7"/>
  <c r="G39" i="27"/>
  <c r="F13" i="7"/>
  <c r="I11" i="7" s="1"/>
  <c r="F25" i="7" l="1"/>
  <c r="H16" i="27" s="1"/>
  <c r="I13" i="7"/>
  <c r="E40" i="27"/>
  <c r="Q7" i="7"/>
  <c r="AC7" i="7"/>
  <c r="AE7" i="7" l="1"/>
  <c r="X7" i="7"/>
  <c r="K40" i="27" s="1"/>
  <c r="AJ7" i="7"/>
  <c r="AA8" i="7"/>
  <c r="F40" i="27"/>
  <c r="O8" i="7"/>
  <c r="S7" i="7"/>
  <c r="G40" i="27" l="1"/>
  <c r="AB8" i="7"/>
  <c r="AF8" i="7"/>
  <c r="R8" i="7"/>
  <c r="W8" i="7"/>
  <c r="J41" i="27" s="1"/>
  <c r="V8" i="7"/>
  <c r="I41" i="27" s="1"/>
  <c r="D41" i="27"/>
  <c r="P8" i="7"/>
  <c r="U8" i="7"/>
  <c r="H41" i="27" s="1"/>
  <c r="E41" i="27" l="1"/>
  <c r="Q8" i="7"/>
  <c r="AC8" i="7"/>
  <c r="S8" i="7" l="1"/>
  <c r="X8" i="7"/>
  <c r="K41" i="27" s="1"/>
  <c r="AJ8" i="7"/>
  <c r="AA9" i="7"/>
  <c r="AE8" i="7"/>
  <c r="F41" i="27"/>
  <c r="O9" i="7"/>
  <c r="G41" i="27" l="1"/>
  <c r="AF9" i="7"/>
  <c r="AB9" i="7"/>
  <c r="P9" i="7"/>
  <c r="R9" i="7"/>
  <c r="V9" i="7"/>
  <c r="I42" i="27" s="1"/>
  <c r="U9" i="7"/>
  <c r="H42" i="27" s="1"/>
  <c r="W9" i="7"/>
  <c r="J42" i="27" s="1"/>
  <c r="D42" i="27"/>
  <c r="Q9" i="7" l="1"/>
  <c r="S9" i="7" s="1"/>
  <c r="E42" i="27"/>
  <c r="AC9" i="7"/>
  <c r="AE9" i="7" l="1"/>
  <c r="G42" i="27"/>
  <c r="F42" i="27"/>
  <c r="O10" i="7"/>
  <c r="X9" i="7"/>
  <c r="K42" i="27" s="1"/>
  <c r="AJ9" i="7"/>
  <c r="AA10" i="7"/>
  <c r="P10" i="7" l="1"/>
  <c r="E43" i="27" s="1"/>
  <c r="R10" i="7"/>
  <c r="V10" i="7"/>
  <c r="I43" i="27" s="1"/>
  <c r="U10" i="7"/>
  <c r="H43" i="27" s="1"/>
  <c r="W10" i="7"/>
  <c r="J43" i="27" s="1"/>
  <c r="D43" i="27"/>
  <c r="AB10" i="7"/>
  <c r="AF10" i="7"/>
  <c r="Q10" i="7" l="1"/>
  <c r="AC10" i="7"/>
  <c r="AE10" i="7" l="1"/>
  <c r="O11" i="7"/>
  <c r="F43" i="27"/>
  <c r="S10" i="7"/>
  <c r="X10" i="7"/>
  <c r="K43" i="27" s="1"/>
  <c r="AJ10" i="7"/>
  <c r="AA11" i="7"/>
  <c r="G43" i="27" l="1"/>
  <c r="R11" i="7"/>
  <c r="V11" i="7"/>
  <c r="I44" i="27" s="1"/>
  <c r="U11" i="7"/>
  <c r="H44" i="27" s="1"/>
  <c r="D44" i="27"/>
  <c r="W11" i="7"/>
  <c r="J44" i="27" s="1"/>
  <c r="P11" i="7"/>
  <c r="AB11" i="7"/>
  <c r="AF11" i="7"/>
  <c r="Q11" i="7" l="1"/>
  <c r="X11" i="7" s="1"/>
  <c r="K44" i="27" s="1"/>
  <c r="E44" i="27"/>
  <c r="AC11" i="7"/>
  <c r="AE11" i="7" s="1"/>
  <c r="O12" i="7" l="1"/>
  <c r="W12" i="7" s="1"/>
  <c r="J45" i="27" s="1"/>
  <c r="S11" i="7"/>
  <c r="F44" i="27"/>
  <c r="AJ11" i="7"/>
  <c r="AA12" i="7"/>
  <c r="P12" i="7" l="1"/>
  <c r="E45" i="27" s="1"/>
  <c r="V12" i="7"/>
  <c r="I45" i="27" s="1"/>
  <c r="U12" i="7"/>
  <c r="H45" i="27" s="1"/>
  <c r="G44" i="27"/>
  <c r="R12" i="7"/>
  <c r="D45" i="27"/>
  <c r="AB12" i="7"/>
  <c r="AF12" i="7"/>
  <c r="Q12" i="7" l="1"/>
  <c r="F45" i="27" s="1"/>
  <c r="AC12" i="7"/>
  <c r="X12" i="7" l="1"/>
  <c r="K45" i="27" s="1"/>
  <c r="O13" i="7"/>
  <c r="W13" i="7" s="1"/>
  <c r="J46" i="27" s="1"/>
  <c r="S12" i="7"/>
  <c r="G45" i="27" s="1"/>
  <c r="AJ12" i="7"/>
  <c r="AA13" i="7"/>
  <c r="AE12" i="7"/>
  <c r="D46" i="27" l="1"/>
  <c r="V13" i="7"/>
  <c r="I46" i="27" s="1"/>
  <c r="P13" i="7"/>
  <c r="E46" i="27" s="1"/>
  <c r="R13" i="7"/>
  <c r="U13" i="7"/>
  <c r="H46" i="27" s="1"/>
  <c r="AB13" i="7"/>
  <c r="AF13" i="7"/>
  <c r="Q13" i="7" l="1"/>
  <c r="S13" i="7" s="1"/>
  <c r="G46" i="27" s="1"/>
  <c r="AC13" i="7"/>
  <c r="AE13" i="7" s="1"/>
  <c r="F46" i="27" l="1"/>
  <c r="O14" i="7"/>
  <c r="R14" i="7" s="1"/>
  <c r="X13" i="7"/>
  <c r="K46" i="27" s="1"/>
  <c r="V14" i="7"/>
  <c r="I47" i="27" s="1"/>
  <c r="D47" i="27"/>
  <c r="U14" i="7"/>
  <c r="H47" i="27" s="1"/>
  <c r="W14" i="7"/>
  <c r="J47" i="27" s="1"/>
  <c r="P14" i="7"/>
  <c r="E47" i="27" s="1"/>
  <c r="AJ13" i="7"/>
  <c r="AA14" i="7"/>
  <c r="Q14" i="7" l="1"/>
  <c r="S14" i="7" s="1"/>
  <c r="G47" i="27" s="1"/>
  <c r="AB14" i="7"/>
  <c r="AF14" i="7"/>
  <c r="O15" i="7" l="1"/>
  <c r="R15" i="7" s="1"/>
  <c r="F47" i="27"/>
  <c r="X14" i="7"/>
  <c r="K47" i="27" s="1"/>
  <c r="AC14" i="7"/>
  <c r="AE14" i="7" s="1"/>
  <c r="P15" i="7" l="1"/>
  <c r="E48" i="27" s="1"/>
  <c r="U15" i="7"/>
  <c r="H48" i="27" s="1"/>
  <c r="D48" i="27"/>
  <c r="W15" i="7"/>
  <c r="J48" i="27" s="1"/>
  <c r="V15" i="7"/>
  <c r="I48" i="27" s="1"/>
  <c r="AJ14" i="7"/>
  <c r="AA15" i="7"/>
  <c r="Q15" i="7" l="1"/>
  <c r="O16" i="7" s="1"/>
  <c r="AF15" i="7"/>
  <c r="AB15" i="7"/>
  <c r="F48" i="27" l="1"/>
  <c r="S15" i="7"/>
  <c r="G48" i="27" s="1"/>
  <c r="X15" i="7"/>
  <c r="K48" i="27" s="1"/>
  <c r="W16" i="7"/>
  <c r="J49" i="27" s="1"/>
  <c r="R16" i="7"/>
  <c r="V16" i="7"/>
  <c r="I49" i="27" s="1"/>
  <c r="D49" i="27"/>
  <c r="P16" i="7"/>
  <c r="U16" i="7"/>
  <c r="H49" i="27" s="1"/>
  <c r="AC15" i="7"/>
  <c r="AE15" i="7" s="1"/>
  <c r="Q16" i="7" l="1"/>
  <c r="F49" i="27" s="1"/>
  <c r="AJ15" i="7"/>
  <c r="AA16" i="7"/>
  <c r="E49" i="27"/>
  <c r="X16" i="7" l="1"/>
  <c r="K49" i="27" s="1"/>
  <c r="S16" i="7"/>
  <c r="G49" i="27" s="1"/>
  <c r="O17" i="7"/>
  <c r="R17" i="7" s="1"/>
  <c r="AB16" i="7"/>
  <c r="AF16" i="7"/>
  <c r="V17" i="7" l="1"/>
  <c r="I50" i="27" s="1"/>
  <c r="D50" i="27"/>
  <c r="W17" i="7"/>
  <c r="J50" i="27" s="1"/>
  <c r="P17" i="7"/>
  <c r="E50" i="27" s="1"/>
  <c r="U17" i="7"/>
  <c r="H50" i="27" s="1"/>
  <c r="AC16" i="7"/>
  <c r="Q17" i="7" l="1"/>
  <c r="O18" i="7" s="1"/>
  <c r="AJ16" i="7"/>
  <c r="AA17" i="7"/>
  <c r="AE16" i="7"/>
  <c r="F50" i="27" l="1"/>
  <c r="S17" i="7"/>
  <c r="G50" i="27" s="1"/>
  <c r="X17" i="7"/>
  <c r="K50" i="27" s="1"/>
  <c r="AB17" i="7"/>
  <c r="AF17" i="7"/>
  <c r="V18" i="7"/>
  <c r="I51" i="27" s="1"/>
  <c r="R18" i="7"/>
  <c r="U18" i="7"/>
  <c r="H51" i="27" s="1"/>
  <c r="P18" i="7"/>
  <c r="D51" i="27"/>
  <c r="W18" i="7"/>
  <c r="J51" i="27" s="1"/>
  <c r="Q18" i="7" l="1"/>
  <c r="S18" i="7" s="1"/>
  <c r="G51" i="27" s="1"/>
  <c r="E51" i="27"/>
  <c r="AC17" i="7"/>
  <c r="AE17" i="7" s="1"/>
  <c r="X18" i="7" l="1"/>
  <c r="K51" i="27" s="1"/>
  <c r="F51" i="27"/>
  <c r="O19" i="7"/>
  <c r="AJ17" i="7"/>
  <c r="AA18" i="7"/>
  <c r="P19" i="7" l="1"/>
  <c r="E52" i="27" s="1"/>
  <c r="V19" i="7"/>
  <c r="I52" i="27" s="1"/>
  <c r="W19" i="7"/>
  <c r="J52" i="27" s="1"/>
  <c r="R19" i="7"/>
  <c r="D52" i="27"/>
  <c r="U19" i="7"/>
  <c r="H52" i="27" s="1"/>
  <c r="AB18" i="7"/>
  <c r="AF18" i="7"/>
  <c r="Q19" i="7" l="1"/>
  <c r="S19" i="7" s="1"/>
  <c r="G52" i="27" s="1"/>
  <c r="AC18" i="7"/>
  <c r="X19" i="7" l="1"/>
  <c r="K52" i="27" s="1"/>
  <c r="F52" i="27"/>
  <c r="O20" i="7"/>
  <c r="AJ18" i="7"/>
  <c r="AA19" i="7"/>
  <c r="AE18" i="7"/>
  <c r="W20" i="7" l="1"/>
  <c r="J53" i="27" s="1"/>
  <c r="R20" i="7"/>
  <c r="D53" i="27"/>
  <c r="U20" i="7"/>
  <c r="H53" i="27" s="1"/>
  <c r="P20" i="7"/>
  <c r="E53" i="27" s="1"/>
  <c r="V20" i="7"/>
  <c r="I53" i="27" s="1"/>
  <c r="AF19" i="7"/>
  <c r="AB19" i="7"/>
  <c r="Q20" i="7" l="1"/>
  <c r="X20" i="7" s="1"/>
  <c r="K53" i="27" s="1"/>
  <c r="AC19" i="7"/>
  <c r="O21" i="7" l="1"/>
  <c r="S20" i="7"/>
  <c r="G53" i="27" s="1"/>
  <c r="F53" i="27"/>
  <c r="AJ19" i="7"/>
  <c r="AA20" i="7"/>
  <c r="AE19" i="7"/>
  <c r="V21" i="7" l="1"/>
  <c r="I54" i="27" s="1"/>
  <c r="D54" i="27"/>
  <c r="U21" i="7"/>
  <c r="H54" i="27" s="1"/>
  <c r="R21" i="7"/>
  <c r="P21" i="7"/>
  <c r="E54" i="27" s="1"/>
  <c r="W21" i="7"/>
  <c r="J54" i="27" s="1"/>
  <c r="AB20" i="7"/>
  <c r="AF20" i="7"/>
  <c r="Q21" i="7" l="1"/>
  <c r="AC20" i="7"/>
  <c r="AE20" i="7" s="1"/>
  <c r="F54" i="27" l="1"/>
  <c r="S21" i="7"/>
  <c r="G54" i="27" s="1"/>
  <c r="O22" i="7"/>
  <c r="X21" i="7"/>
  <c r="K54" i="27" s="1"/>
  <c r="AJ20" i="7"/>
  <c r="AA21" i="7"/>
  <c r="P22" i="7" l="1"/>
  <c r="R22" i="7"/>
  <c r="U22" i="7"/>
  <c r="H55" i="27" s="1"/>
  <c r="D55" i="27"/>
  <c r="W22" i="7"/>
  <c r="J55" i="27" s="1"/>
  <c r="V22" i="7"/>
  <c r="I55" i="27" s="1"/>
  <c r="AF21" i="7"/>
  <c r="AB21" i="7"/>
  <c r="Q22" i="7" l="1"/>
  <c r="O23" i="7" s="1"/>
  <c r="E55" i="27"/>
  <c r="AC21" i="7"/>
  <c r="F55" i="27" l="1"/>
  <c r="S22" i="7"/>
  <c r="G55" i="27" s="1"/>
  <c r="X22" i="7"/>
  <c r="K55" i="27" s="1"/>
  <c r="D56" i="27"/>
  <c r="R23" i="7"/>
  <c r="U23" i="7"/>
  <c r="H56" i="27" s="1"/>
  <c r="P23" i="7"/>
  <c r="E56" i="27" s="1"/>
  <c r="V23" i="7"/>
  <c r="I56" i="27" s="1"/>
  <c r="W23" i="7"/>
  <c r="J56" i="27" s="1"/>
  <c r="AJ21" i="7"/>
  <c r="AA22" i="7"/>
  <c r="AE21" i="7"/>
  <c r="Q23" i="7" l="1"/>
  <c r="X23" i="7" s="1"/>
  <c r="K56" i="27" s="1"/>
  <c r="AB22" i="7"/>
  <c r="AF22" i="7"/>
  <c r="F56" i="27" l="1"/>
  <c r="S23" i="7"/>
  <c r="G56" i="27" s="1"/>
  <c r="O24" i="7"/>
  <c r="AC22" i="7"/>
  <c r="U24" i="7" l="1"/>
  <c r="H57" i="27" s="1"/>
  <c r="D57" i="27"/>
  <c r="R24" i="7"/>
  <c r="P24" i="7"/>
  <c r="E57" i="27" s="1"/>
  <c r="W24" i="7"/>
  <c r="J57" i="27" s="1"/>
  <c r="V24" i="7"/>
  <c r="I57" i="27" s="1"/>
  <c r="AJ22" i="7"/>
  <c r="AA23" i="7"/>
  <c r="AE22" i="7"/>
  <c r="Q24" i="7" l="1"/>
  <c r="O25" i="7" s="1"/>
  <c r="P25" i="7" s="1"/>
  <c r="AF23" i="7"/>
  <c r="AB23" i="7"/>
  <c r="D58" i="27" l="1"/>
  <c r="W25" i="7"/>
  <c r="J58" i="27" s="1"/>
  <c r="R25" i="7"/>
  <c r="Q25" i="7" s="1"/>
  <c r="S25" i="7" s="1"/>
  <c r="G58" i="27" s="1"/>
  <c r="U25" i="7"/>
  <c r="H58" i="27" s="1"/>
  <c r="V25" i="7"/>
  <c r="I58" i="27" s="1"/>
  <c r="S24" i="7"/>
  <c r="G57" i="27" s="1"/>
  <c r="F57" i="27"/>
  <c r="X24" i="7"/>
  <c r="K57" i="27" s="1"/>
  <c r="E58" i="27"/>
  <c r="AC23" i="7"/>
  <c r="AE23" i="7" s="1"/>
  <c r="F58" i="27" l="1"/>
  <c r="O26" i="7"/>
  <c r="X25" i="7"/>
  <c r="K58" i="27" s="1"/>
  <c r="AJ23" i="7"/>
  <c r="AA24" i="7"/>
  <c r="R26" i="7" l="1"/>
  <c r="U26" i="7"/>
  <c r="H59" i="27" s="1"/>
  <c r="V26" i="7"/>
  <c r="I59" i="27" s="1"/>
  <c r="P26" i="7"/>
  <c r="W26" i="7"/>
  <c r="J59" i="27" s="1"/>
  <c r="D59" i="27"/>
  <c r="AB24" i="7"/>
  <c r="AF24" i="7"/>
  <c r="E59" i="27" l="1"/>
  <c r="Q26" i="7"/>
  <c r="X26" i="7" s="1"/>
  <c r="K59" i="27" s="1"/>
  <c r="AC24" i="7"/>
  <c r="AJ24" i="7" l="1"/>
  <c r="AA25" i="7"/>
  <c r="F59" i="27"/>
  <c r="O27" i="7"/>
  <c r="S26" i="7"/>
  <c r="G59" i="27" s="1"/>
  <c r="AE24" i="7"/>
  <c r="AF25" i="7" l="1"/>
  <c r="AB25" i="7"/>
  <c r="U27" i="7"/>
  <c r="H60" i="27" s="1"/>
  <c r="V27" i="7"/>
  <c r="I60" i="27" s="1"/>
  <c r="R27" i="7"/>
  <c r="P27" i="7"/>
  <c r="W27" i="7"/>
  <c r="J60" i="27" s="1"/>
  <c r="D60" i="27"/>
  <c r="Q27" i="7" l="1"/>
  <c r="F60" i="27" s="1"/>
  <c r="AC25" i="7"/>
  <c r="AE25" i="7" s="1"/>
  <c r="E60" i="27"/>
  <c r="X27" i="7" l="1"/>
  <c r="K60" i="27" s="1"/>
  <c r="S27" i="7"/>
  <c r="G60" i="27" s="1"/>
  <c r="O28" i="7"/>
  <c r="R28" i="7" s="1"/>
  <c r="AJ25" i="7"/>
  <c r="AA26" i="7"/>
  <c r="D61" i="27" l="1"/>
  <c r="P28" i="7"/>
  <c r="E61" i="27" s="1"/>
  <c r="U28" i="7"/>
  <c r="H61" i="27" s="1"/>
  <c r="W28" i="7"/>
  <c r="J61" i="27" s="1"/>
  <c r="V28" i="7"/>
  <c r="I61" i="27" s="1"/>
  <c r="AB26" i="7"/>
  <c r="AF26" i="7"/>
  <c r="Q28" i="7" l="1"/>
  <c r="F61" i="27" s="1"/>
  <c r="AC26" i="7"/>
  <c r="O29" i="7" l="1"/>
  <c r="P29" i="7" s="1"/>
  <c r="E62" i="27" s="1"/>
  <c r="X28" i="7"/>
  <c r="K61" i="27" s="1"/>
  <c r="S28" i="7"/>
  <c r="G61" i="27" s="1"/>
  <c r="AJ26" i="7"/>
  <c r="AA27" i="7"/>
  <c r="AE26" i="7"/>
  <c r="U29" i="7" l="1"/>
  <c r="H62" i="27" s="1"/>
  <c r="V29" i="7"/>
  <c r="I62" i="27" s="1"/>
  <c r="D62" i="27"/>
  <c r="R29" i="7"/>
  <c r="Q29" i="7" s="1"/>
  <c r="F62" i="27" s="1"/>
  <c r="W29" i="7"/>
  <c r="J62" i="27" s="1"/>
  <c r="AF27" i="7"/>
  <c r="AB27" i="7"/>
  <c r="S29" i="7" l="1"/>
  <c r="G62" i="27" s="1"/>
  <c r="X29" i="7"/>
  <c r="K62" i="27" s="1"/>
  <c r="O30" i="7"/>
  <c r="D63" i="27" s="1"/>
  <c r="AC27" i="7"/>
  <c r="AE27" i="7" s="1"/>
  <c r="W30" i="7" l="1"/>
  <c r="J63" i="27" s="1"/>
  <c r="U30" i="7"/>
  <c r="H63" i="27" s="1"/>
  <c r="V30" i="7"/>
  <c r="I63" i="27" s="1"/>
  <c r="P30" i="7"/>
  <c r="E63" i="27" s="1"/>
  <c r="R30" i="7"/>
  <c r="AJ27" i="7"/>
  <c r="AA28" i="7"/>
  <c r="Q30" i="7" l="1"/>
  <c r="F63" i="27" s="1"/>
  <c r="AB28" i="7"/>
  <c r="AF28" i="7"/>
  <c r="X30" i="7" l="1"/>
  <c r="K63" i="27" s="1"/>
  <c r="S30" i="7"/>
  <c r="G63" i="27" s="1"/>
  <c r="O31" i="7"/>
  <c r="V31" i="7" s="1"/>
  <c r="I64" i="27" s="1"/>
  <c r="AC28" i="7"/>
  <c r="D64" i="27" l="1"/>
  <c r="R31" i="7"/>
  <c r="P31" i="7"/>
  <c r="E64" i="27" s="1"/>
  <c r="U31" i="7"/>
  <c r="H64" i="27" s="1"/>
  <c r="W31" i="7"/>
  <c r="J64" i="27" s="1"/>
  <c r="AJ28" i="7"/>
  <c r="AA29" i="7"/>
  <c r="AE28" i="7"/>
  <c r="Q31" i="7" l="1"/>
  <c r="F64" i="27" s="1"/>
  <c r="AB29" i="7"/>
  <c r="AF29" i="7"/>
  <c r="X31" i="7" l="1"/>
  <c r="K64" i="27" s="1"/>
  <c r="S31" i="7"/>
  <c r="G64" i="27" s="1"/>
  <c r="O32" i="7"/>
  <c r="AC29" i="7"/>
  <c r="AE29" i="7" s="1"/>
  <c r="V32" i="7" l="1"/>
  <c r="I65" i="27" s="1"/>
  <c r="R32" i="7"/>
  <c r="W32" i="7"/>
  <c r="J65" i="27" s="1"/>
  <c r="U32" i="7"/>
  <c r="H65" i="27" s="1"/>
  <c r="D65" i="27"/>
  <c r="P32" i="7"/>
  <c r="E65" i="27" s="1"/>
  <c r="AJ29" i="7"/>
  <c r="AA30" i="7"/>
  <c r="Q32" i="7" l="1"/>
  <c r="AF30" i="7"/>
  <c r="AB30" i="7"/>
  <c r="F65" i="27" l="1"/>
  <c r="O33" i="7"/>
  <c r="X32" i="7"/>
  <c r="K65" i="27" s="1"/>
  <c r="S32" i="7"/>
  <c r="G65" i="27" s="1"/>
  <c r="AC30" i="7"/>
  <c r="D66" i="27" l="1"/>
  <c r="V33" i="7"/>
  <c r="I66" i="27" s="1"/>
  <c r="U33" i="7"/>
  <c r="H66" i="27" s="1"/>
  <c r="P33" i="7"/>
  <c r="E66" i="27" s="1"/>
  <c r="R33" i="7"/>
  <c r="W33" i="7"/>
  <c r="J66" i="27" s="1"/>
  <c r="AJ30" i="7"/>
  <c r="AA31" i="7"/>
  <c r="AE30" i="7"/>
  <c r="Q33" i="7" l="1"/>
  <c r="F66" i="27" s="1"/>
  <c r="AB31" i="7"/>
  <c r="AF31" i="7"/>
  <c r="X33" i="7" l="1"/>
  <c r="K66" i="27" s="1"/>
  <c r="O34" i="7"/>
  <c r="S33" i="7"/>
  <c r="G66" i="27" s="1"/>
  <c r="AC31" i="7"/>
  <c r="V34" i="7" l="1"/>
  <c r="I67" i="27" s="1"/>
  <c r="D67" i="27"/>
  <c r="U34" i="7"/>
  <c r="H67" i="27" s="1"/>
  <c r="W34" i="7"/>
  <c r="J67" i="27" s="1"/>
  <c r="R34" i="7"/>
  <c r="P34" i="7"/>
  <c r="E67" i="27" s="1"/>
  <c r="AJ31" i="7"/>
  <c r="AA32" i="7"/>
  <c r="AE31" i="7"/>
  <c r="Q34" i="7" l="1"/>
  <c r="X34" i="7" s="1"/>
  <c r="K67" i="27" s="1"/>
  <c r="AF32" i="7"/>
  <c r="AB32" i="7"/>
  <c r="S34" i="7" l="1"/>
  <c r="G67" i="27" s="1"/>
  <c r="O35" i="7"/>
  <c r="F67" i="27"/>
  <c r="AC32" i="7"/>
  <c r="U35" i="7" l="1"/>
  <c r="H68" i="27" s="1"/>
  <c r="P35" i="7"/>
  <c r="W35" i="7"/>
  <c r="J68" i="27" s="1"/>
  <c r="R35" i="7"/>
  <c r="D68" i="27"/>
  <c r="V35" i="7"/>
  <c r="I68" i="27" s="1"/>
  <c r="AJ32" i="7"/>
  <c r="AA33" i="7"/>
  <c r="AE32" i="7"/>
  <c r="Q35" i="7" l="1"/>
  <c r="F68" i="27" s="1"/>
  <c r="E68" i="27"/>
  <c r="AF33" i="7"/>
  <c r="AB33" i="7"/>
  <c r="O36" i="7" l="1"/>
  <c r="R36" i="7" s="1"/>
  <c r="S35" i="7"/>
  <c r="G68" i="27" s="1"/>
  <c r="X35" i="7"/>
  <c r="K68" i="27" s="1"/>
  <c r="AC33" i="7"/>
  <c r="P36" i="7" l="1"/>
  <c r="E69" i="27" s="1"/>
  <c r="W36" i="7"/>
  <c r="J69" i="27" s="1"/>
  <c r="D69" i="27"/>
  <c r="U36" i="7"/>
  <c r="H69" i="27" s="1"/>
  <c r="V36" i="7"/>
  <c r="I69" i="27" s="1"/>
  <c r="AJ33" i="7"/>
  <c r="AA34" i="7"/>
  <c r="AE33" i="7"/>
  <c r="Q36" i="7" l="1"/>
  <c r="F69" i="27" s="1"/>
  <c r="AB34" i="7"/>
  <c r="AF34" i="7"/>
  <c r="O37" i="7" l="1"/>
  <c r="V37" i="7" s="1"/>
  <c r="I70" i="27" s="1"/>
  <c r="S36" i="7"/>
  <c r="G69" i="27" s="1"/>
  <c r="X36" i="7"/>
  <c r="K69" i="27" s="1"/>
  <c r="AC34" i="7"/>
  <c r="U37" i="7" l="1"/>
  <c r="H70" i="27" s="1"/>
  <c r="D70" i="27"/>
  <c r="W37" i="7"/>
  <c r="J70" i="27" s="1"/>
  <c r="P37" i="7"/>
  <c r="E70" i="27" s="1"/>
  <c r="R37" i="7"/>
  <c r="AJ34" i="7"/>
  <c r="AA35" i="7"/>
  <c r="AE34" i="7"/>
  <c r="Q37" i="7" l="1"/>
  <c r="F70" i="27" s="1"/>
  <c r="AB35" i="7"/>
  <c r="AF35" i="7"/>
  <c r="X37" i="7" l="1"/>
  <c r="K70" i="27" s="1"/>
  <c r="O38" i="7"/>
  <c r="P38" i="7" s="1"/>
  <c r="S37" i="7"/>
  <c r="G70" i="27" s="1"/>
  <c r="U38" i="7"/>
  <c r="H71" i="27" s="1"/>
  <c r="AC35" i="7"/>
  <c r="D71" i="27" l="1"/>
  <c r="W38" i="7"/>
  <c r="J71" i="27" s="1"/>
  <c r="V38" i="7"/>
  <c r="I71" i="27" s="1"/>
  <c r="R38" i="7"/>
  <c r="Q38" i="7" s="1"/>
  <c r="S38" i="7" s="1"/>
  <c r="G71" i="27" s="1"/>
  <c r="E71" i="27"/>
  <c r="AJ35" i="7"/>
  <c r="AA36" i="7"/>
  <c r="AE35" i="7"/>
  <c r="X38" i="7" l="1"/>
  <c r="K71" i="27" s="1"/>
  <c r="F71" i="27"/>
  <c r="O39" i="7"/>
  <c r="AB36" i="7"/>
  <c r="AF36" i="7"/>
  <c r="U39" i="7" l="1"/>
  <c r="H72" i="27" s="1"/>
  <c r="W39" i="7"/>
  <c r="J72" i="27" s="1"/>
  <c r="V39" i="7"/>
  <c r="I72" i="27" s="1"/>
  <c r="P39" i="7"/>
  <c r="R39" i="7"/>
  <c r="D72" i="27"/>
  <c r="AC36" i="7"/>
  <c r="Q39" i="7" l="1"/>
  <c r="F72" i="27" s="1"/>
  <c r="E72" i="27"/>
  <c r="AJ36" i="7"/>
  <c r="AA37" i="7"/>
  <c r="AE36" i="7"/>
  <c r="S39" i="7" l="1"/>
  <c r="G72" i="27" s="1"/>
  <c r="O40" i="7"/>
  <c r="U40" i="7" s="1"/>
  <c r="H73" i="27" s="1"/>
  <c r="X39" i="7"/>
  <c r="K72" i="27" s="1"/>
  <c r="AF37" i="7"/>
  <c r="AB37" i="7"/>
  <c r="V40" i="7" l="1"/>
  <c r="I73" i="27" s="1"/>
  <c r="P40" i="7"/>
  <c r="E73" i="27" s="1"/>
  <c r="W40" i="7"/>
  <c r="J73" i="27" s="1"/>
  <c r="D73" i="27"/>
  <c r="R40" i="7"/>
  <c r="AC37" i="7"/>
  <c r="AE37" i="7" s="1"/>
  <c r="Q40" i="7" l="1"/>
  <c r="X40" i="7" s="1"/>
  <c r="K73" i="27" s="1"/>
  <c r="AJ37" i="7"/>
  <c r="AA38" i="7"/>
  <c r="F73" i="27" l="1"/>
  <c r="O41" i="7"/>
  <c r="D74" i="27" s="1"/>
  <c r="S40" i="7"/>
  <c r="G73" i="27" s="1"/>
  <c r="AB38" i="7"/>
  <c r="AF38" i="7"/>
  <c r="V41" i="7" l="1"/>
  <c r="I74" i="27" s="1"/>
  <c r="R41" i="7"/>
  <c r="U41" i="7"/>
  <c r="H74" i="27" s="1"/>
  <c r="P41" i="7"/>
  <c r="E74" i="27" s="1"/>
  <c r="W41" i="7"/>
  <c r="J74" i="27" s="1"/>
  <c r="AC38" i="7"/>
  <c r="Q41" i="7" l="1"/>
  <c r="X41" i="7" s="1"/>
  <c r="K74" i="27" s="1"/>
  <c r="AJ38" i="7"/>
  <c r="AA39" i="7"/>
  <c r="AE38" i="7"/>
  <c r="F74" i="27" l="1"/>
  <c r="S41" i="7"/>
  <c r="G74" i="27" s="1"/>
  <c r="O42" i="7"/>
  <c r="P42" i="7" s="1"/>
  <c r="E75" i="27" s="1"/>
  <c r="AB39" i="7"/>
  <c r="AF39" i="7"/>
  <c r="U42" i="7" l="1"/>
  <c r="H75" i="27" s="1"/>
  <c r="R42" i="7"/>
  <c r="Q42" i="7" s="1"/>
  <c r="S42" i="7" s="1"/>
  <c r="G75" i="27" s="1"/>
  <c r="V42" i="7"/>
  <c r="I75" i="27" s="1"/>
  <c r="W42" i="7"/>
  <c r="J75" i="27" s="1"/>
  <c r="D75" i="27"/>
  <c r="AC39" i="7"/>
  <c r="O43" i="7" l="1"/>
  <c r="P43" i="7" s="1"/>
  <c r="X42" i="7"/>
  <c r="K75" i="27" s="1"/>
  <c r="F75" i="27"/>
  <c r="AJ39" i="7"/>
  <c r="AA40" i="7"/>
  <c r="AE39" i="7"/>
  <c r="U43" i="7" l="1"/>
  <c r="H76" i="27" s="1"/>
  <c r="D76" i="27"/>
  <c r="W43" i="7"/>
  <c r="J76" i="27" s="1"/>
  <c r="R43" i="7"/>
  <c r="Q43" i="7" s="1"/>
  <c r="V43" i="7"/>
  <c r="I76" i="27" s="1"/>
  <c r="E76" i="27"/>
  <c r="AB40" i="7"/>
  <c r="AF40" i="7"/>
  <c r="F76" i="27" l="1"/>
  <c r="S43" i="7"/>
  <c r="G76" i="27" s="1"/>
  <c r="O44" i="7"/>
  <c r="W44" i="7" s="1"/>
  <c r="J77" i="27" s="1"/>
  <c r="X43" i="7"/>
  <c r="K76" i="27" s="1"/>
  <c r="AC40" i="7"/>
  <c r="D77" i="27" l="1"/>
  <c r="R44" i="7"/>
  <c r="P44" i="7"/>
  <c r="E77" i="27" s="1"/>
  <c r="U44" i="7"/>
  <c r="H77" i="27" s="1"/>
  <c r="V44" i="7"/>
  <c r="I77" i="27" s="1"/>
  <c r="AJ40" i="7"/>
  <c r="AA41" i="7"/>
  <c r="AE40" i="7"/>
  <c r="Q44" i="7" l="1"/>
  <c r="S44" i="7" s="1"/>
  <c r="G77" i="27" s="1"/>
  <c r="AB41" i="7"/>
  <c r="AF41" i="7"/>
  <c r="F77" i="27" l="1"/>
  <c r="O45" i="7"/>
  <c r="R45" i="7" s="1"/>
  <c r="X44" i="7"/>
  <c r="K77" i="27" s="1"/>
  <c r="U45" i="7"/>
  <c r="H78" i="27" s="1"/>
  <c r="V45" i="7"/>
  <c r="I78" i="27" s="1"/>
  <c r="AC41" i="7"/>
  <c r="D78" i="27" l="1"/>
  <c r="P45" i="7"/>
  <c r="Q45" i="7" s="1"/>
  <c r="F78" i="27" s="1"/>
  <c r="W45" i="7"/>
  <c r="J78" i="27" s="1"/>
  <c r="AJ41" i="7"/>
  <c r="AA42" i="7"/>
  <c r="AE41" i="7"/>
  <c r="E78" i="27" l="1"/>
  <c r="O46" i="7"/>
  <c r="R46" i="7" s="1"/>
  <c r="X45" i="7"/>
  <c r="K78" i="27" s="1"/>
  <c r="S45" i="7"/>
  <c r="G78" i="27" s="1"/>
  <c r="AF42" i="7"/>
  <c r="AB42" i="7"/>
  <c r="P46" i="7" l="1"/>
  <c r="E79" i="27" s="1"/>
  <c r="V46" i="7"/>
  <c r="I79" i="27" s="1"/>
  <c r="D79" i="27"/>
  <c r="U46" i="7"/>
  <c r="H79" i="27" s="1"/>
  <c r="W46" i="7"/>
  <c r="J79" i="27" s="1"/>
  <c r="AC42" i="7"/>
  <c r="AE42" i="7" s="1"/>
  <c r="Q46" i="7" l="1"/>
  <c r="X46" i="7" s="1"/>
  <c r="K79" i="27" s="1"/>
  <c r="AJ42" i="7"/>
  <c r="AA43" i="7"/>
  <c r="O47" i="7" l="1"/>
  <c r="R47" i="7" s="1"/>
  <c r="S46" i="7"/>
  <c r="G79" i="27" s="1"/>
  <c r="F79" i="27"/>
  <c r="AB43" i="7"/>
  <c r="AF43" i="7"/>
  <c r="P47" i="7" l="1"/>
  <c r="Q47" i="7" s="1"/>
  <c r="F80" i="27" s="1"/>
  <c r="V47" i="7"/>
  <c r="I80" i="27" s="1"/>
  <c r="U47" i="7"/>
  <c r="H80" i="27" s="1"/>
  <c r="W47" i="7"/>
  <c r="J80" i="27" s="1"/>
  <c r="D80" i="27"/>
  <c r="AC43" i="7"/>
  <c r="E80" i="27" l="1"/>
  <c r="O48" i="7"/>
  <c r="R48" i="7" s="1"/>
  <c r="X47" i="7"/>
  <c r="K80" i="27" s="1"/>
  <c r="S47" i="7"/>
  <c r="G80" i="27" s="1"/>
  <c r="AJ43" i="7"/>
  <c r="AA44" i="7"/>
  <c r="AE43" i="7"/>
  <c r="U48" i="7" l="1"/>
  <c r="H81" i="27" s="1"/>
  <c r="P48" i="7"/>
  <c r="Q48" i="7" s="1"/>
  <c r="S48" i="7" s="1"/>
  <c r="G81" i="27" s="1"/>
  <c r="W48" i="7"/>
  <c r="J81" i="27" s="1"/>
  <c r="V48" i="7"/>
  <c r="I81" i="27" s="1"/>
  <c r="D81" i="27"/>
  <c r="AB44" i="7"/>
  <c r="AF44" i="7"/>
  <c r="E81" i="27" l="1"/>
  <c r="AC44" i="7"/>
  <c r="F81" i="27"/>
  <c r="O49" i="7"/>
  <c r="X48" i="7"/>
  <c r="K81" i="27" s="1"/>
  <c r="W49" i="7" l="1"/>
  <c r="J82" i="27" s="1"/>
  <c r="R49" i="7"/>
  <c r="U49" i="7"/>
  <c r="H82" i="27" s="1"/>
  <c r="V49" i="7"/>
  <c r="I82" i="27" s="1"/>
  <c r="P49" i="7"/>
  <c r="D82" i="27"/>
  <c r="AJ44" i="7"/>
  <c r="AA45" i="7"/>
  <c r="AE44" i="7"/>
  <c r="Q49" i="7" l="1"/>
  <c r="F82" i="27" s="1"/>
  <c r="AF45" i="7"/>
  <c r="AB45" i="7"/>
  <c r="E82" i="27"/>
  <c r="X49" i="7" l="1"/>
  <c r="K82" i="27" s="1"/>
  <c r="S49" i="7"/>
  <c r="G82" i="27" s="1"/>
  <c r="O50" i="7"/>
  <c r="W50" i="7" s="1"/>
  <c r="J83" i="27" s="1"/>
  <c r="AC45" i="7"/>
  <c r="U50" i="7" l="1"/>
  <c r="H83" i="27" s="1"/>
  <c r="D83" i="27"/>
  <c r="V50" i="7"/>
  <c r="I83" i="27" s="1"/>
  <c r="R50" i="7"/>
  <c r="P50" i="7"/>
  <c r="E83" i="27" s="1"/>
  <c r="AJ45" i="7"/>
  <c r="AA46" i="7"/>
  <c r="AE45" i="7"/>
  <c r="Q50" i="7" l="1"/>
  <c r="S50" i="7" s="1"/>
  <c r="G83" i="27" s="1"/>
  <c r="AB46" i="7"/>
  <c r="AF46" i="7"/>
  <c r="O51" i="7" l="1"/>
  <c r="W51" i="7" s="1"/>
  <c r="J84" i="27" s="1"/>
  <c r="F83" i="27"/>
  <c r="X50" i="7"/>
  <c r="K83" i="27" s="1"/>
  <c r="AC46" i="7"/>
  <c r="AE46" i="7" s="1"/>
  <c r="U51" i="7" l="1"/>
  <c r="H84" i="27" s="1"/>
  <c r="R51" i="7"/>
  <c r="P51" i="7"/>
  <c r="E84" i="27" s="1"/>
  <c r="V51" i="7"/>
  <c r="I84" i="27" s="1"/>
  <c r="D84" i="27"/>
  <c r="AJ46" i="7"/>
  <c r="AA47" i="7"/>
  <c r="Q51" i="7" l="1"/>
  <c r="S51" i="7" s="1"/>
  <c r="G84" i="27" s="1"/>
  <c r="AF47" i="7"/>
  <c r="AB47" i="7"/>
  <c r="F84" i="27" l="1"/>
  <c r="O52" i="7"/>
  <c r="W52" i="7" s="1"/>
  <c r="J85" i="27" s="1"/>
  <c r="X51" i="7"/>
  <c r="K84" i="27" s="1"/>
  <c r="AC47" i="7"/>
  <c r="AE47" i="7" s="1"/>
  <c r="D85" i="27" l="1"/>
  <c r="R52" i="7"/>
  <c r="P52" i="7"/>
  <c r="E85" i="27" s="1"/>
  <c r="U52" i="7"/>
  <c r="H85" i="27" s="1"/>
  <c r="V52" i="7"/>
  <c r="I85" i="27" s="1"/>
  <c r="AJ47" i="7"/>
  <c r="AA48" i="7"/>
  <c r="Q52" i="7" l="1"/>
  <c r="F85" i="27" s="1"/>
  <c r="AF48" i="7"/>
  <c r="AB48" i="7"/>
  <c r="S52" i="7" l="1"/>
  <c r="G85" i="27" s="1"/>
  <c r="X52" i="7"/>
  <c r="K85" i="27" s="1"/>
  <c r="O53" i="7"/>
  <c r="U53" i="7" s="1"/>
  <c r="H86" i="27" s="1"/>
  <c r="AC48" i="7"/>
  <c r="R53" i="7" l="1"/>
  <c r="D86" i="27"/>
  <c r="V53" i="7"/>
  <c r="I86" i="27" s="1"/>
  <c r="P53" i="7"/>
  <c r="E86" i="27" s="1"/>
  <c r="W53" i="7"/>
  <c r="J86" i="27" s="1"/>
  <c r="AJ48" i="7"/>
  <c r="AA49" i="7"/>
  <c r="AE48" i="7"/>
  <c r="Q53" i="7" l="1"/>
  <c r="S53" i="7" s="1"/>
  <c r="G86" i="27" s="1"/>
  <c r="AF49" i="7"/>
  <c r="AB49" i="7"/>
  <c r="O54" i="7" l="1"/>
  <c r="U54" i="7" s="1"/>
  <c r="H87" i="27" s="1"/>
  <c r="F86" i="27"/>
  <c r="X53" i="7"/>
  <c r="K86" i="27" s="1"/>
  <c r="AC49" i="7"/>
  <c r="AE49" i="7" s="1"/>
  <c r="P54" i="7" l="1"/>
  <c r="E87" i="27" s="1"/>
  <c r="W54" i="7"/>
  <c r="J87" i="27" s="1"/>
  <c r="R54" i="7"/>
  <c r="D87" i="27"/>
  <c r="V54" i="7"/>
  <c r="I87" i="27" s="1"/>
  <c r="AJ49" i="7"/>
  <c r="AA50" i="7"/>
  <c r="Q54" i="7" l="1"/>
  <c r="F87" i="27" s="1"/>
  <c r="AF50" i="7"/>
  <c r="AB50" i="7"/>
  <c r="S54" i="7" l="1"/>
  <c r="G87" i="27" s="1"/>
  <c r="X54" i="7"/>
  <c r="K87" i="27" s="1"/>
  <c r="O55" i="7"/>
  <c r="V55" i="7" s="1"/>
  <c r="I88" i="27" s="1"/>
  <c r="AC50" i="7"/>
  <c r="AE50" i="7" s="1"/>
  <c r="U55" i="7" l="1"/>
  <c r="H88" i="27" s="1"/>
  <c r="W55" i="7"/>
  <c r="J88" i="27" s="1"/>
  <c r="P55" i="7"/>
  <c r="E88" i="27" s="1"/>
  <c r="R55" i="7"/>
  <c r="D88" i="27"/>
  <c r="AJ50" i="7"/>
  <c r="AA51" i="7"/>
  <c r="Q55" i="7" l="1"/>
  <c r="X55" i="7" s="1"/>
  <c r="K88" i="27" s="1"/>
  <c r="AB51" i="7"/>
  <c r="AF51" i="7"/>
  <c r="O56" i="7" l="1"/>
  <c r="W56" i="7" s="1"/>
  <c r="J89" i="27" s="1"/>
  <c r="S55" i="7"/>
  <c r="G88" i="27" s="1"/>
  <c r="F88" i="27"/>
  <c r="AC51" i="7"/>
  <c r="D89" i="27" l="1"/>
  <c r="U56" i="7"/>
  <c r="H89" i="27" s="1"/>
  <c r="V56" i="7"/>
  <c r="I89" i="27" s="1"/>
  <c r="R56" i="7"/>
  <c r="P56" i="7"/>
  <c r="E89" i="27" s="1"/>
  <c r="AJ51" i="7"/>
  <c r="AA52" i="7"/>
  <c r="AE51" i="7"/>
  <c r="Q56" i="7" l="1"/>
  <c r="S56" i="7" s="1"/>
  <c r="G89" i="27" s="1"/>
  <c r="AB52" i="7"/>
  <c r="AF52" i="7"/>
  <c r="X56" i="7" l="1"/>
  <c r="K89" i="27" s="1"/>
  <c r="F89" i="27"/>
  <c r="O57" i="7"/>
  <c r="V57" i="7" s="1"/>
  <c r="I90" i="27" s="1"/>
  <c r="AC52" i="7"/>
  <c r="AE52" i="7" s="1"/>
  <c r="D90" i="27" l="1"/>
  <c r="P57" i="7"/>
  <c r="E90" i="27" s="1"/>
  <c r="U57" i="7"/>
  <c r="H90" i="27" s="1"/>
  <c r="W57" i="7"/>
  <c r="J90" i="27" s="1"/>
  <c r="R57" i="7"/>
  <c r="AJ52" i="7"/>
  <c r="AA53" i="7"/>
  <c r="Q57" i="7" l="1"/>
  <c r="F90" i="27" s="1"/>
  <c r="AF53" i="7"/>
  <c r="AB53" i="7"/>
  <c r="O58" i="7" l="1"/>
  <c r="P58" i="7" s="1"/>
  <c r="E91" i="27" s="1"/>
  <c r="S57" i="7"/>
  <c r="G90" i="27" s="1"/>
  <c r="X57" i="7"/>
  <c r="K90" i="27" s="1"/>
  <c r="AC53" i="7"/>
  <c r="V58" i="7" l="1"/>
  <c r="I91" i="27" s="1"/>
  <c r="D91" i="27"/>
  <c r="U58" i="7"/>
  <c r="H91" i="27" s="1"/>
  <c r="R58" i="7"/>
  <c r="Q58" i="7" s="1"/>
  <c r="F91" i="27" s="1"/>
  <c r="W58" i="7"/>
  <c r="J91" i="27" s="1"/>
  <c r="AJ53" i="7"/>
  <c r="AA54" i="7"/>
  <c r="AE53" i="7"/>
  <c r="S58" i="7" l="1"/>
  <c r="G91" i="27" s="1"/>
  <c r="X58" i="7"/>
  <c r="K91" i="27" s="1"/>
  <c r="O59" i="7"/>
  <c r="U59" i="7" s="1"/>
  <c r="H92" i="27" s="1"/>
  <c r="AF54" i="7"/>
  <c r="AB54" i="7"/>
  <c r="R59" i="7" l="1"/>
  <c r="V59" i="7"/>
  <c r="I92" i="27" s="1"/>
  <c r="P59" i="7"/>
  <c r="D92" i="27"/>
  <c r="W59" i="7"/>
  <c r="J92" i="27" s="1"/>
  <c r="AC54" i="7"/>
  <c r="Q59" i="7" l="1"/>
  <c r="F92" i="27" s="1"/>
  <c r="E92" i="27"/>
  <c r="AJ54" i="7"/>
  <c r="AA55" i="7"/>
  <c r="AE54" i="7"/>
  <c r="X59" i="7" l="1"/>
  <c r="K92" i="27" s="1"/>
  <c r="O60" i="7"/>
  <c r="U60" i="7" s="1"/>
  <c r="H93" i="27" s="1"/>
  <c r="S59" i="7"/>
  <c r="G92" i="27" s="1"/>
  <c r="AF55" i="7"/>
  <c r="AB55" i="7"/>
  <c r="D93" i="27" l="1"/>
  <c r="R60" i="7"/>
  <c r="W60" i="7"/>
  <c r="J93" i="27" s="1"/>
  <c r="V60" i="7"/>
  <c r="I93" i="27" s="1"/>
  <c r="P60" i="7"/>
  <c r="E93" i="27" s="1"/>
  <c r="AC55" i="7"/>
  <c r="Q60" i="7" l="1"/>
  <c r="X60" i="7" s="1"/>
  <c r="K93" i="27" s="1"/>
  <c r="AJ55" i="7"/>
  <c r="AA56" i="7"/>
  <c r="AE55" i="7"/>
  <c r="F93" i="27" l="1"/>
  <c r="O61" i="7"/>
  <c r="R61" i="7" s="1"/>
  <c r="S60" i="7"/>
  <c r="G93" i="27" s="1"/>
  <c r="V61" i="7"/>
  <c r="I94" i="27" s="1"/>
  <c r="AB56" i="7"/>
  <c r="AF56" i="7"/>
  <c r="P61" i="7" l="1"/>
  <c r="Q61" i="7" s="1"/>
  <c r="F94" i="27" s="1"/>
  <c r="U61" i="7"/>
  <c r="H94" i="27" s="1"/>
  <c r="D94" i="27"/>
  <c r="W61" i="7"/>
  <c r="J94" i="27" s="1"/>
  <c r="AC56" i="7"/>
  <c r="E94" i="27" l="1"/>
  <c r="O62" i="7"/>
  <c r="D95" i="27" s="1"/>
  <c r="S61" i="7"/>
  <c r="G94" i="27" s="1"/>
  <c r="X61" i="7"/>
  <c r="K94" i="27" s="1"/>
  <c r="AJ56" i="7"/>
  <c r="AA57" i="7"/>
  <c r="AE56" i="7"/>
  <c r="W62" i="7" l="1"/>
  <c r="J95" i="27" s="1"/>
  <c r="V62" i="7"/>
  <c r="I95" i="27" s="1"/>
  <c r="R62" i="7"/>
  <c r="U62" i="7"/>
  <c r="H95" i="27" s="1"/>
  <c r="P62" i="7"/>
  <c r="E95" i="27" s="1"/>
  <c r="AB57" i="7"/>
  <c r="AF57" i="7"/>
  <c r="Q62" i="7" l="1"/>
  <c r="F95" i="27" s="1"/>
  <c r="AC57" i="7"/>
  <c r="AE57" i="7" s="1"/>
  <c r="S62" i="7" l="1"/>
  <c r="G95" i="27" s="1"/>
  <c r="O63" i="7"/>
  <c r="V63" i="7" s="1"/>
  <c r="I96" i="27" s="1"/>
  <c r="X62" i="7"/>
  <c r="K95" i="27" s="1"/>
  <c r="AJ57" i="7"/>
  <c r="AA58" i="7"/>
  <c r="D96" i="27" l="1"/>
  <c r="R63" i="7"/>
  <c r="U63" i="7"/>
  <c r="H96" i="27" s="1"/>
  <c r="P63" i="7"/>
  <c r="E96" i="27" s="1"/>
  <c r="W63" i="7"/>
  <c r="J96" i="27" s="1"/>
  <c r="AB58" i="7"/>
  <c r="AF58" i="7"/>
  <c r="Q63" i="7" l="1"/>
  <c r="X63" i="7" s="1"/>
  <c r="K96" i="27" s="1"/>
  <c r="AC58" i="7"/>
  <c r="S63" i="7" l="1"/>
  <c r="G96" i="27" s="1"/>
  <c r="F96" i="27"/>
  <c r="O64" i="7"/>
  <c r="D97" i="27" s="1"/>
  <c r="P64" i="7"/>
  <c r="E97" i="27" s="1"/>
  <c r="U64" i="7"/>
  <c r="H97" i="27" s="1"/>
  <c r="W64" i="7"/>
  <c r="J97" i="27" s="1"/>
  <c r="V64" i="7"/>
  <c r="I97" i="27" s="1"/>
  <c r="AJ58" i="7"/>
  <c r="AA59" i="7"/>
  <c r="AE58" i="7"/>
  <c r="R64" i="7" l="1"/>
  <c r="Q64" i="7" s="1"/>
  <c r="AF59" i="7"/>
  <c r="AB59" i="7"/>
  <c r="X64" i="7" l="1"/>
  <c r="K97" i="27" s="1"/>
  <c r="O65" i="7"/>
  <c r="F97" i="27"/>
  <c r="S64" i="7"/>
  <c r="G97" i="27" s="1"/>
  <c r="AC59" i="7"/>
  <c r="D98" i="27" l="1"/>
  <c r="U65" i="7"/>
  <c r="H98" i="27" s="1"/>
  <c r="W65" i="7"/>
  <c r="J98" i="27" s="1"/>
  <c r="V65" i="7"/>
  <c r="I98" i="27" s="1"/>
  <c r="R65" i="7"/>
  <c r="P65" i="7"/>
  <c r="E98" i="27" s="1"/>
  <c r="AJ59" i="7"/>
  <c r="AA60" i="7"/>
  <c r="AE59" i="7"/>
  <c r="Q65" i="7" l="1"/>
  <c r="AF60" i="7"/>
  <c r="AB60" i="7"/>
  <c r="F98" i="27" l="1"/>
  <c r="O66" i="7"/>
  <c r="S65" i="7"/>
  <c r="G98" i="27" s="1"/>
  <c r="X65" i="7"/>
  <c r="K98" i="27" s="1"/>
  <c r="AC60" i="7"/>
  <c r="U66" i="7" l="1"/>
  <c r="H99" i="27" s="1"/>
  <c r="W66" i="7"/>
  <c r="J99" i="27" s="1"/>
  <c r="D99" i="27"/>
  <c r="R66" i="7"/>
  <c r="V66" i="7"/>
  <c r="I99" i="27" s="1"/>
  <c r="P66" i="7"/>
  <c r="AJ60" i="7"/>
  <c r="AA61" i="7"/>
  <c r="AE60" i="7"/>
  <c r="E99" i="27" l="1"/>
  <c r="Q66" i="7"/>
  <c r="AF61" i="7"/>
  <c r="AB61" i="7"/>
  <c r="S66" i="7" l="1"/>
  <c r="G99" i="27" s="1"/>
  <c r="O67" i="7"/>
  <c r="F99" i="27"/>
  <c r="X66" i="7"/>
  <c r="K99" i="27" s="1"/>
  <c r="AC61" i="7"/>
  <c r="V67" i="7" l="1"/>
  <c r="I100" i="27" s="1"/>
  <c r="P67" i="7"/>
  <c r="W67" i="7"/>
  <c r="J100" i="27" s="1"/>
  <c r="D100" i="27"/>
  <c r="R67" i="7"/>
  <c r="U67" i="7"/>
  <c r="H100" i="27" s="1"/>
  <c r="AJ61" i="7"/>
  <c r="AA62" i="7"/>
  <c r="AE61" i="7"/>
  <c r="E100" i="27" l="1"/>
  <c r="Q67" i="7"/>
  <c r="AB62" i="7"/>
  <c r="AF62" i="7"/>
  <c r="X67" i="7" l="1"/>
  <c r="K100" i="27" s="1"/>
  <c r="F100" i="27"/>
  <c r="O68" i="7"/>
  <c r="S67" i="7"/>
  <c r="G100" i="27" s="1"/>
  <c r="AC62" i="7"/>
  <c r="AE62" i="7" s="1"/>
  <c r="R68" i="7" l="1"/>
  <c r="W68" i="7"/>
  <c r="J101" i="27" s="1"/>
  <c r="D101" i="27"/>
  <c r="V68" i="7"/>
  <c r="I101" i="27" s="1"/>
  <c r="P68" i="7"/>
  <c r="U68" i="7"/>
  <c r="H101" i="27" s="1"/>
  <c r="AJ62" i="7"/>
  <c r="AA63" i="7"/>
  <c r="E101" i="27" l="1"/>
  <c r="Q68" i="7"/>
  <c r="AB63" i="7"/>
  <c r="AF63" i="7"/>
  <c r="F101" i="27" l="1"/>
  <c r="O69" i="7"/>
  <c r="S68" i="7"/>
  <c r="G101" i="27" s="1"/>
  <c r="X68" i="7"/>
  <c r="K101" i="27" s="1"/>
  <c r="AC63" i="7"/>
  <c r="AE63" i="7" s="1"/>
  <c r="V69" i="7" l="1"/>
  <c r="I102" i="27" s="1"/>
  <c r="R69" i="7"/>
  <c r="W69" i="7"/>
  <c r="J102" i="27" s="1"/>
  <c r="D102" i="27"/>
  <c r="P69" i="7"/>
  <c r="U69" i="7"/>
  <c r="H102" i="27" s="1"/>
  <c r="AJ63" i="7"/>
  <c r="AA64" i="7"/>
  <c r="Q69" i="7" l="1"/>
  <c r="X69" i="7" s="1"/>
  <c r="K102" i="27" s="1"/>
  <c r="E102" i="27"/>
  <c r="AF64" i="7"/>
  <c r="AB64" i="7"/>
  <c r="F102" i="27" l="1"/>
  <c r="O70" i="7"/>
  <c r="R70" i="7" s="1"/>
  <c r="S69" i="7"/>
  <c r="G102" i="27" s="1"/>
  <c r="AC64" i="7"/>
  <c r="AE64" i="7" s="1"/>
  <c r="V70" i="7" l="1"/>
  <c r="I103" i="27" s="1"/>
  <c r="U70" i="7"/>
  <c r="H103" i="27" s="1"/>
  <c r="D103" i="27"/>
  <c r="P70" i="7"/>
  <c r="E103" i="27" s="1"/>
  <c r="W70" i="7"/>
  <c r="J103" i="27" s="1"/>
  <c r="AJ64" i="7"/>
  <c r="AA65" i="7"/>
  <c r="Q70" i="7" l="1"/>
  <c r="S70" i="7" s="1"/>
  <c r="G103" i="27" s="1"/>
  <c r="AF65" i="7"/>
  <c r="AB65" i="7"/>
  <c r="F103" i="27" l="1"/>
  <c r="X70" i="7"/>
  <c r="K103" i="27" s="1"/>
  <c r="O71" i="7"/>
  <c r="AC65" i="7"/>
  <c r="AE65" i="7" s="1"/>
  <c r="W71" i="7" l="1"/>
  <c r="J104" i="27" s="1"/>
  <c r="U71" i="7"/>
  <c r="H104" i="27" s="1"/>
  <c r="V71" i="7"/>
  <c r="I104" i="27" s="1"/>
  <c r="R71" i="7"/>
  <c r="D104" i="27"/>
  <c r="P71" i="7"/>
  <c r="AJ65" i="7"/>
  <c r="AA66" i="7"/>
  <c r="Q71" i="7" l="1"/>
  <c r="E104" i="27"/>
  <c r="AF66" i="7"/>
  <c r="AB66" i="7"/>
  <c r="F104" i="27" l="1"/>
  <c r="O72" i="7"/>
  <c r="X71" i="7"/>
  <c r="K104" i="27" s="1"/>
  <c r="S71" i="7"/>
  <c r="G104" i="27" s="1"/>
  <c r="AC66" i="7"/>
  <c r="V72" i="7" l="1"/>
  <c r="I105" i="27" s="1"/>
  <c r="W72" i="7"/>
  <c r="J105" i="27" s="1"/>
  <c r="D105" i="27"/>
  <c r="P72" i="7"/>
  <c r="R72" i="7"/>
  <c r="U72" i="7"/>
  <c r="H105" i="27" s="1"/>
  <c r="AJ66" i="7"/>
  <c r="AA67" i="7"/>
  <c r="AE66" i="7"/>
  <c r="Q72" i="7" l="1"/>
  <c r="O73" i="7" s="1"/>
  <c r="E105" i="27"/>
  <c r="AF67" i="7"/>
  <c r="AB67" i="7"/>
  <c r="S72" i="7" l="1"/>
  <c r="G105" i="27" s="1"/>
  <c r="X72" i="7"/>
  <c r="K105" i="27" s="1"/>
  <c r="F105" i="27"/>
  <c r="V73" i="7"/>
  <c r="I106" i="27" s="1"/>
  <c r="D106" i="27"/>
  <c r="P73" i="7"/>
  <c r="E106" i="27" s="1"/>
  <c r="U73" i="7"/>
  <c r="H106" i="27" s="1"/>
  <c r="R73" i="7"/>
  <c r="W73" i="7"/>
  <c r="J106" i="27" s="1"/>
  <c r="AC67" i="7"/>
  <c r="Q73" i="7" l="1"/>
  <c r="X73" i="7" s="1"/>
  <c r="K106" i="27" s="1"/>
  <c r="AJ67" i="7"/>
  <c r="AA68" i="7"/>
  <c r="AE67" i="7"/>
  <c r="O74" i="7" l="1"/>
  <c r="V74" i="7" s="1"/>
  <c r="I107" i="27" s="1"/>
  <c r="S73" i="7"/>
  <c r="G106" i="27" s="1"/>
  <c r="F106" i="27"/>
  <c r="AF68" i="7"/>
  <c r="AB68" i="7"/>
  <c r="U74" i="7" l="1"/>
  <c r="H107" i="27" s="1"/>
  <c r="D107" i="27"/>
  <c r="R74" i="7"/>
  <c r="P74" i="7"/>
  <c r="E107" i="27" s="1"/>
  <c r="W74" i="7"/>
  <c r="J107" i="27" s="1"/>
  <c r="AC68" i="7"/>
  <c r="Q74" i="7" l="1"/>
  <c r="X74" i="7" s="1"/>
  <c r="K107" i="27" s="1"/>
  <c r="AJ68" i="7"/>
  <c r="AA69" i="7"/>
  <c r="AE68" i="7"/>
  <c r="O75" i="7" l="1"/>
  <c r="U75" i="7" s="1"/>
  <c r="H108" i="27" s="1"/>
  <c r="S74" i="7"/>
  <c r="G107" i="27" s="1"/>
  <c r="F107" i="27"/>
  <c r="AB69" i="7"/>
  <c r="AF69" i="7"/>
  <c r="W75" i="7" l="1"/>
  <c r="J108" i="27" s="1"/>
  <c r="D108" i="27"/>
  <c r="P75" i="7"/>
  <c r="E108" i="27" s="1"/>
  <c r="V75" i="7"/>
  <c r="I108" i="27" s="1"/>
  <c r="R75" i="7"/>
  <c r="AC69" i="7"/>
  <c r="Q75" i="7" l="1"/>
  <c r="O76" i="7" s="1"/>
  <c r="W76" i="7" s="1"/>
  <c r="J109" i="27" s="1"/>
  <c r="AJ69" i="7"/>
  <c r="AA70" i="7"/>
  <c r="AE69" i="7"/>
  <c r="F108" i="27" l="1"/>
  <c r="S75" i="7"/>
  <c r="G108" i="27" s="1"/>
  <c r="X75" i="7"/>
  <c r="K108" i="27" s="1"/>
  <c r="R76" i="7"/>
  <c r="U76" i="7"/>
  <c r="H109" i="27" s="1"/>
  <c r="D109" i="27"/>
  <c r="P76" i="7"/>
  <c r="E109" i="27" s="1"/>
  <c r="V76" i="7"/>
  <c r="I109" i="27" s="1"/>
  <c r="AF70" i="7"/>
  <c r="AB70" i="7"/>
  <c r="Q76" i="7" l="1"/>
  <c r="F109" i="27" s="1"/>
  <c r="AC70" i="7"/>
  <c r="X76" i="7" l="1"/>
  <c r="K109" i="27" s="1"/>
  <c r="S76" i="7"/>
  <c r="G109" i="27" s="1"/>
  <c r="O77" i="7"/>
  <c r="W77" i="7" s="1"/>
  <c r="J110" i="27" s="1"/>
  <c r="AJ70" i="7"/>
  <c r="AA71" i="7"/>
  <c r="AE70" i="7"/>
  <c r="P77" i="7" l="1"/>
  <c r="E110" i="27" s="1"/>
  <c r="D110" i="27"/>
  <c r="V77" i="7"/>
  <c r="I110" i="27" s="1"/>
  <c r="R77" i="7"/>
  <c r="U77" i="7"/>
  <c r="H110" i="27" s="1"/>
  <c r="AB71" i="7"/>
  <c r="AF71" i="7"/>
  <c r="Q77" i="7" l="1"/>
  <c r="F110" i="27" s="1"/>
  <c r="AC71" i="7"/>
  <c r="AE71" i="7" s="1"/>
  <c r="X77" i="7" l="1"/>
  <c r="K110" i="27" s="1"/>
  <c r="S77" i="7"/>
  <c r="G110" i="27" s="1"/>
  <c r="O78" i="7"/>
  <c r="D111" i="27" s="1"/>
  <c r="AJ71" i="7"/>
  <c r="AA72" i="7"/>
  <c r="R78" i="7" l="1"/>
  <c r="P78" i="7"/>
  <c r="E111" i="27" s="1"/>
  <c r="V78" i="7"/>
  <c r="I111" i="27" s="1"/>
  <c r="U78" i="7"/>
  <c r="H111" i="27" s="1"/>
  <c r="W78" i="7"/>
  <c r="J111" i="27" s="1"/>
  <c r="AB72" i="7"/>
  <c r="AF72" i="7"/>
  <c r="Q78" i="7" l="1"/>
  <c r="O79" i="7" s="1"/>
  <c r="AC72" i="7"/>
  <c r="AE72" i="7" s="1"/>
  <c r="X78" i="7" l="1"/>
  <c r="K111" i="27" s="1"/>
  <c r="P79" i="7"/>
  <c r="E112" i="27" s="1"/>
  <c r="R79" i="7"/>
  <c r="F111" i="27"/>
  <c r="S78" i="7"/>
  <c r="G111" i="27" s="1"/>
  <c r="V79" i="7"/>
  <c r="I112" i="27" s="1"/>
  <c r="W79" i="7"/>
  <c r="J112" i="27" s="1"/>
  <c r="U79" i="7"/>
  <c r="H112" i="27" s="1"/>
  <c r="D112" i="27"/>
  <c r="AJ72" i="7"/>
  <c r="AA73" i="7"/>
  <c r="Q79" i="7" l="1"/>
  <c r="F112" i="27" s="1"/>
  <c r="AF73" i="7"/>
  <c r="AB73" i="7"/>
  <c r="X79" i="7" l="1"/>
  <c r="K112" i="27" s="1"/>
  <c r="S79" i="7"/>
  <c r="G112" i="27" s="1"/>
  <c r="O80" i="7"/>
  <c r="V80" i="7" s="1"/>
  <c r="I113" i="27" s="1"/>
  <c r="AC73" i="7"/>
  <c r="P80" i="7" l="1"/>
  <c r="U80" i="7"/>
  <c r="H113" i="27" s="1"/>
  <c r="D113" i="27"/>
  <c r="R80" i="7"/>
  <c r="W80" i="7"/>
  <c r="J113" i="27" s="1"/>
  <c r="AJ73" i="7"/>
  <c r="AA74" i="7"/>
  <c r="AE73" i="7"/>
  <c r="E113" i="27"/>
  <c r="Q80" i="7" l="1"/>
  <c r="S80" i="7" s="1"/>
  <c r="G113" i="27" s="1"/>
  <c r="AB74" i="7"/>
  <c r="AF74" i="7"/>
  <c r="O81" i="7" l="1"/>
  <c r="R81" i="7" s="1"/>
  <c r="F113" i="27"/>
  <c r="X80" i="7"/>
  <c r="K113" i="27" s="1"/>
  <c r="AC74" i="7"/>
  <c r="AE74" i="7" s="1"/>
  <c r="U81" i="7" l="1"/>
  <c r="H114" i="27" s="1"/>
  <c r="D114" i="27"/>
  <c r="W81" i="7"/>
  <c r="J114" i="27" s="1"/>
  <c r="P81" i="7"/>
  <c r="Q81" i="7" s="1"/>
  <c r="F114" i="27" s="1"/>
  <c r="V81" i="7"/>
  <c r="I114" i="27" s="1"/>
  <c r="AJ74" i="7"/>
  <c r="AA75" i="7"/>
  <c r="E114" i="27" l="1"/>
  <c r="X81" i="7"/>
  <c r="K114" i="27" s="1"/>
  <c r="S81" i="7"/>
  <c r="G114" i="27" s="1"/>
  <c r="O82" i="7"/>
  <c r="D115" i="27" s="1"/>
  <c r="AF75" i="7"/>
  <c r="AB75" i="7"/>
  <c r="P82" i="7" l="1"/>
  <c r="E115" i="27" s="1"/>
  <c r="W82" i="7"/>
  <c r="J115" i="27" s="1"/>
  <c r="R82" i="7"/>
  <c r="V82" i="7"/>
  <c r="I115" i="27" s="1"/>
  <c r="U82" i="7"/>
  <c r="H115" i="27" s="1"/>
  <c r="AC75" i="7"/>
  <c r="AE75" i="7" s="1"/>
  <c r="Q82" i="7" l="1"/>
  <c r="S82" i="7" s="1"/>
  <c r="G115" i="27" s="1"/>
  <c r="AJ75" i="7"/>
  <c r="AA76" i="7"/>
  <c r="F115" i="27" l="1"/>
  <c r="O83" i="7"/>
  <c r="R83" i="7" s="1"/>
  <c r="X82" i="7"/>
  <c r="K115" i="27" s="1"/>
  <c r="AB76" i="7"/>
  <c r="AF76" i="7"/>
  <c r="P83" i="7" l="1"/>
  <c r="E116" i="27" s="1"/>
  <c r="D116" i="27"/>
  <c r="U83" i="7"/>
  <c r="H116" i="27" s="1"/>
  <c r="V83" i="7"/>
  <c r="I116" i="27" s="1"/>
  <c r="W83" i="7"/>
  <c r="J116" i="27" s="1"/>
  <c r="AC76" i="7"/>
  <c r="Q83" i="7" l="1"/>
  <c r="F116" i="27" s="1"/>
  <c r="AJ76" i="7"/>
  <c r="AA77" i="7"/>
  <c r="AE76" i="7"/>
  <c r="X83" i="7" l="1"/>
  <c r="K116" i="27" s="1"/>
  <c r="S83" i="7"/>
  <c r="G116" i="27" s="1"/>
  <c r="O84" i="7"/>
  <c r="V84" i="7" s="1"/>
  <c r="I117" i="27" s="1"/>
  <c r="AB77" i="7"/>
  <c r="AF77" i="7"/>
  <c r="R84" i="7" l="1"/>
  <c r="D117" i="27"/>
  <c r="P84" i="7"/>
  <c r="E117" i="27" s="1"/>
  <c r="W84" i="7"/>
  <c r="J117" i="27" s="1"/>
  <c r="U84" i="7"/>
  <c r="H117" i="27" s="1"/>
  <c r="AC77" i="7"/>
  <c r="Q84" i="7" l="1"/>
  <c r="F117" i="27" s="1"/>
  <c r="AJ77" i="7"/>
  <c r="AA78" i="7"/>
  <c r="AE77" i="7"/>
  <c r="S84" i="7" l="1"/>
  <c r="G117" i="27" s="1"/>
  <c r="X84" i="7"/>
  <c r="K117" i="27" s="1"/>
  <c r="O85" i="7"/>
  <c r="P85" i="7" s="1"/>
  <c r="AB78" i="7"/>
  <c r="AF78" i="7"/>
  <c r="R85" i="7" l="1"/>
  <c r="Q85" i="7" s="1"/>
  <c r="O86" i="7" s="1"/>
  <c r="U86" i="7" s="1"/>
  <c r="H119" i="27" s="1"/>
  <c r="W85" i="7"/>
  <c r="J118" i="27" s="1"/>
  <c r="V85" i="7"/>
  <c r="I118" i="27" s="1"/>
  <c r="D118" i="27"/>
  <c r="U85" i="7"/>
  <c r="H118" i="27" s="1"/>
  <c r="E118" i="27"/>
  <c r="AC78" i="7"/>
  <c r="AE78" i="7" s="1"/>
  <c r="V86" i="7" l="1"/>
  <c r="I119" i="27" s="1"/>
  <c r="F118" i="27"/>
  <c r="S85" i="7"/>
  <c r="G118" i="27" s="1"/>
  <c r="X85" i="7"/>
  <c r="K118" i="27" s="1"/>
  <c r="D119" i="27"/>
  <c r="W86" i="7"/>
  <c r="J119" i="27" s="1"/>
  <c r="P86" i="7"/>
  <c r="R86" i="7"/>
  <c r="AJ78" i="7"/>
  <c r="AA79" i="7"/>
  <c r="Q86" i="7" l="1"/>
  <c r="F119" i="27" s="1"/>
  <c r="E119" i="27"/>
  <c r="AF79" i="7"/>
  <c r="AB79" i="7"/>
  <c r="S86" i="7" l="1"/>
  <c r="G119" i="27" s="1"/>
  <c r="X86" i="7"/>
  <c r="K119" i="27" s="1"/>
  <c r="O87" i="7"/>
  <c r="R87" i="7" s="1"/>
  <c r="AC79" i="7"/>
  <c r="AE79" i="7" s="1"/>
  <c r="V87" i="7" l="1"/>
  <c r="I120" i="27" s="1"/>
  <c r="U87" i="7"/>
  <c r="H120" i="27" s="1"/>
  <c r="W87" i="7"/>
  <c r="J120" i="27" s="1"/>
  <c r="P87" i="7"/>
  <c r="E120" i="27" s="1"/>
  <c r="D120" i="27"/>
  <c r="AJ79" i="7"/>
  <c r="AA80" i="7"/>
  <c r="Q87" i="7" l="1"/>
  <c r="S87" i="7" s="1"/>
  <c r="G120" i="27" s="1"/>
  <c r="AB80" i="7"/>
  <c r="AF80" i="7"/>
  <c r="F120" i="27" l="1"/>
  <c r="X87" i="7"/>
  <c r="K120" i="27" s="1"/>
  <c r="O88" i="7"/>
  <c r="R88" i="7" s="1"/>
  <c r="AC80" i="7"/>
  <c r="AE80" i="7" s="1"/>
  <c r="U88" i="7" l="1"/>
  <c r="H121" i="27" s="1"/>
  <c r="D121" i="27"/>
  <c r="V88" i="7"/>
  <c r="I121" i="27" s="1"/>
  <c r="W88" i="7"/>
  <c r="J121" i="27" s="1"/>
  <c r="P88" i="7"/>
  <c r="E121" i="27" s="1"/>
  <c r="AJ80" i="7"/>
  <c r="AA81" i="7"/>
  <c r="Q88" i="7" l="1"/>
  <c r="X88" i="7" s="1"/>
  <c r="K121" i="27" s="1"/>
  <c r="AB81" i="7"/>
  <c r="AF81" i="7"/>
  <c r="O89" i="7" l="1"/>
  <c r="F121" i="27"/>
  <c r="S88" i="7"/>
  <c r="G121" i="27" s="1"/>
  <c r="AC81" i="7"/>
  <c r="AE81" i="7" s="1"/>
  <c r="R89" i="7" l="1"/>
  <c r="D122" i="27"/>
  <c r="V89" i="7"/>
  <c r="I122" i="27" s="1"/>
  <c r="W89" i="7"/>
  <c r="J122" i="27" s="1"/>
  <c r="U89" i="7"/>
  <c r="H122" i="27" s="1"/>
  <c r="P89" i="7"/>
  <c r="AJ81" i="7"/>
  <c r="AA82" i="7"/>
  <c r="E122" i="27" l="1"/>
  <c r="Q89" i="7"/>
  <c r="S89" i="7" s="1"/>
  <c r="G122" i="27" s="1"/>
  <c r="AB82" i="7"/>
  <c r="AF82" i="7"/>
  <c r="O90" i="7" l="1"/>
  <c r="F122" i="27"/>
  <c r="X89" i="7"/>
  <c r="K122" i="27" s="1"/>
  <c r="AC82" i="7"/>
  <c r="AE82" i="7" s="1"/>
  <c r="R90" i="7" l="1"/>
  <c r="V90" i="7"/>
  <c r="I123" i="27" s="1"/>
  <c r="W90" i="7"/>
  <c r="J123" i="27" s="1"/>
  <c r="U90" i="7"/>
  <c r="H123" i="27" s="1"/>
  <c r="D123" i="27"/>
  <c r="P90" i="7"/>
  <c r="AJ82" i="7"/>
  <c r="AA83" i="7"/>
  <c r="E123" i="27" l="1"/>
  <c r="Q90" i="7"/>
  <c r="X90" i="7" s="1"/>
  <c r="K123" i="27" s="1"/>
  <c r="AF83" i="7"/>
  <c r="AB83" i="7"/>
  <c r="O91" i="7" l="1"/>
  <c r="F123" i="27"/>
  <c r="S90" i="7"/>
  <c r="G123" i="27" s="1"/>
  <c r="AC83" i="7"/>
  <c r="V91" i="7" l="1"/>
  <c r="I124" i="27" s="1"/>
  <c r="R91" i="7"/>
  <c r="P91" i="7"/>
  <c r="U91" i="7"/>
  <c r="H124" i="27" s="1"/>
  <c r="W91" i="7"/>
  <c r="J124" i="27" s="1"/>
  <c r="D124" i="27"/>
  <c r="AJ83" i="7"/>
  <c r="AA84" i="7"/>
  <c r="AE83" i="7"/>
  <c r="E124" i="27" l="1"/>
  <c r="Q91" i="7"/>
  <c r="AB84" i="7"/>
  <c r="AF84" i="7"/>
  <c r="X91" i="7" l="1"/>
  <c r="K124" i="27" s="1"/>
  <c r="O92" i="7"/>
  <c r="F124" i="27"/>
  <c r="S91" i="7"/>
  <c r="G124" i="27" s="1"/>
  <c r="AC84" i="7"/>
  <c r="AE84" i="7" s="1"/>
  <c r="R92" i="7" l="1"/>
  <c r="P92" i="7"/>
  <c r="W92" i="7"/>
  <c r="J125" i="27" s="1"/>
  <c r="V92" i="7"/>
  <c r="I125" i="27" s="1"/>
  <c r="U92" i="7"/>
  <c r="H125" i="27" s="1"/>
  <c r="D125" i="27"/>
  <c r="AJ84" i="7"/>
  <c r="AA85" i="7"/>
  <c r="E125" i="27" l="1"/>
  <c r="Q92" i="7"/>
  <c r="X92" i="7" s="1"/>
  <c r="K125" i="27" s="1"/>
  <c r="AB85" i="7"/>
  <c r="AF85" i="7"/>
  <c r="F125" i="27" l="1"/>
  <c r="O93" i="7"/>
  <c r="S92" i="7"/>
  <c r="G125" i="27" s="1"/>
  <c r="AC85" i="7"/>
  <c r="W93" i="7" l="1"/>
  <c r="J126" i="27" s="1"/>
  <c r="R93" i="7"/>
  <c r="U93" i="7"/>
  <c r="H126" i="27" s="1"/>
  <c r="V93" i="7"/>
  <c r="I126" i="27" s="1"/>
  <c r="P93" i="7"/>
  <c r="D126" i="27"/>
  <c r="AJ85" i="7"/>
  <c r="AA86" i="7"/>
  <c r="AE85" i="7"/>
  <c r="Q93" i="7" l="1"/>
  <c r="S93" i="7" s="1"/>
  <c r="G126" i="27" s="1"/>
  <c r="E126" i="27"/>
  <c r="AB86" i="7"/>
  <c r="AF86" i="7"/>
  <c r="F126" i="27" l="1"/>
  <c r="O94" i="7"/>
  <c r="D127" i="27" s="1"/>
  <c r="X93" i="7"/>
  <c r="K126" i="27" s="1"/>
  <c r="AC86" i="7"/>
  <c r="U94" i="7" l="1"/>
  <c r="H127" i="27" s="1"/>
  <c r="V94" i="7"/>
  <c r="I127" i="27" s="1"/>
  <c r="P94" i="7"/>
  <c r="E127" i="27" s="1"/>
  <c r="W94" i="7"/>
  <c r="J127" i="27" s="1"/>
  <c r="R94" i="7"/>
  <c r="AJ86" i="7"/>
  <c r="AA87" i="7"/>
  <c r="AE86" i="7"/>
  <c r="Q94" i="7" l="1"/>
  <c r="S94" i="7" s="1"/>
  <c r="G127" i="27" s="1"/>
  <c r="AF87" i="7"/>
  <c r="AB87" i="7"/>
  <c r="X94" i="7" l="1"/>
  <c r="K127" i="27" s="1"/>
  <c r="O95" i="7"/>
  <c r="V95" i="7" s="1"/>
  <c r="I128" i="27" s="1"/>
  <c r="F127" i="27"/>
  <c r="AC87" i="7"/>
  <c r="AE87" i="7" s="1"/>
  <c r="P95" i="7" l="1"/>
  <c r="E128" i="27" s="1"/>
  <c r="R95" i="7"/>
  <c r="U95" i="7"/>
  <c r="H128" i="27" s="1"/>
  <c r="D128" i="27"/>
  <c r="W95" i="7"/>
  <c r="J128" i="27" s="1"/>
  <c r="AJ87" i="7"/>
  <c r="AA88" i="7"/>
  <c r="Q95" i="7" l="1"/>
  <c r="F128" i="27" s="1"/>
  <c r="AB88" i="7"/>
  <c r="AF88" i="7"/>
  <c r="O96" i="7" l="1"/>
  <c r="R96" i="7" s="1"/>
  <c r="X95" i="7"/>
  <c r="K128" i="27" s="1"/>
  <c r="S95" i="7"/>
  <c r="G128" i="27" s="1"/>
  <c r="AC88" i="7"/>
  <c r="W96" i="7" l="1"/>
  <c r="J129" i="27" s="1"/>
  <c r="U96" i="7"/>
  <c r="H129" i="27" s="1"/>
  <c r="D129" i="27"/>
  <c r="V96" i="7"/>
  <c r="I129" i="27" s="1"/>
  <c r="P96" i="7"/>
  <c r="E129" i="27" s="1"/>
  <c r="AJ88" i="7"/>
  <c r="AA89" i="7"/>
  <c r="AE88" i="7"/>
  <c r="Q96" i="7" l="1"/>
  <c r="S96" i="7" s="1"/>
  <c r="G129" i="27" s="1"/>
  <c r="AF89" i="7"/>
  <c r="AB89" i="7"/>
  <c r="O97" i="7" l="1"/>
  <c r="D130" i="27" s="1"/>
  <c r="X96" i="7"/>
  <c r="K129" i="27" s="1"/>
  <c r="F129" i="27"/>
  <c r="AC89" i="7"/>
  <c r="R97" i="7" l="1"/>
  <c r="W97" i="7"/>
  <c r="J130" i="27" s="1"/>
  <c r="U97" i="7"/>
  <c r="H130" i="27" s="1"/>
  <c r="V97" i="7"/>
  <c r="I130" i="27" s="1"/>
  <c r="P97" i="7"/>
  <c r="E130" i="27" s="1"/>
  <c r="AJ89" i="7"/>
  <c r="AA90" i="7"/>
  <c r="AE89" i="7"/>
  <c r="Q97" i="7" l="1"/>
  <c r="F130" i="27" s="1"/>
  <c r="AB90" i="7"/>
  <c r="AF90" i="7"/>
  <c r="X97" i="7" l="1"/>
  <c r="K130" i="27" s="1"/>
  <c r="S97" i="7"/>
  <c r="G130" i="27" s="1"/>
  <c r="O98" i="7"/>
  <c r="R98" i="7" s="1"/>
  <c r="AC90" i="7"/>
  <c r="AE90" i="7" s="1"/>
  <c r="V98" i="7" l="1"/>
  <c r="I131" i="27" s="1"/>
  <c r="U98" i="7"/>
  <c r="H131" i="27" s="1"/>
  <c r="D131" i="27"/>
  <c r="P98" i="7"/>
  <c r="E131" i="27" s="1"/>
  <c r="W98" i="7"/>
  <c r="J131" i="27" s="1"/>
  <c r="AJ90" i="7"/>
  <c r="AA91" i="7"/>
  <c r="Q98" i="7" l="1"/>
  <c r="S98" i="7" s="1"/>
  <c r="G131" i="27" s="1"/>
  <c r="AF91" i="7"/>
  <c r="AB91" i="7"/>
  <c r="O99" i="7" l="1"/>
  <c r="U99" i="7" s="1"/>
  <c r="H132" i="27" s="1"/>
  <c r="F131" i="27"/>
  <c r="X98" i="7"/>
  <c r="K131" i="27" s="1"/>
  <c r="AC91" i="7"/>
  <c r="AE91" i="7" s="1"/>
  <c r="W99" i="7" l="1"/>
  <c r="J132" i="27" s="1"/>
  <c r="R99" i="7"/>
  <c r="D132" i="27"/>
  <c r="P99" i="7"/>
  <c r="E132" i="27" s="1"/>
  <c r="V99" i="7"/>
  <c r="I132" i="27" s="1"/>
  <c r="AJ91" i="7"/>
  <c r="AA92" i="7"/>
  <c r="Q99" i="7" l="1"/>
  <c r="S99" i="7" s="1"/>
  <c r="G132" i="27" s="1"/>
  <c r="AB92" i="7"/>
  <c r="AF92" i="7"/>
  <c r="X99" i="7" l="1"/>
  <c r="K132" i="27" s="1"/>
  <c r="F132" i="27"/>
  <c r="O100" i="7"/>
  <c r="V100" i="7" s="1"/>
  <c r="I133" i="27" s="1"/>
  <c r="AC92" i="7"/>
  <c r="W100" i="7" l="1"/>
  <c r="J133" i="27" s="1"/>
  <c r="P100" i="7"/>
  <c r="E133" i="27" s="1"/>
  <c r="R100" i="7"/>
  <c r="U100" i="7"/>
  <c r="H133" i="27" s="1"/>
  <c r="D133" i="27"/>
  <c r="AJ92" i="7"/>
  <c r="AA93" i="7"/>
  <c r="AE92" i="7"/>
  <c r="Q100" i="7" l="1"/>
  <c r="F133" i="27" s="1"/>
  <c r="AF93" i="7"/>
  <c r="AB93" i="7"/>
  <c r="X100" i="7" l="1"/>
  <c r="K133" i="27" s="1"/>
  <c r="O101" i="7"/>
  <c r="R101" i="7" s="1"/>
  <c r="S100" i="7"/>
  <c r="G133" i="27" s="1"/>
  <c r="AC93" i="7"/>
  <c r="D134" i="27" l="1"/>
  <c r="W101" i="7"/>
  <c r="J134" i="27" s="1"/>
  <c r="V101" i="7"/>
  <c r="I134" i="27" s="1"/>
  <c r="U101" i="7"/>
  <c r="H134" i="27" s="1"/>
  <c r="P101" i="7"/>
  <c r="E134" i="27" s="1"/>
  <c r="AJ93" i="7"/>
  <c r="AA94" i="7"/>
  <c r="AE93" i="7"/>
  <c r="Q101" i="7" l="1"/>
  <c r="X101" i="7" s="1"/>
  <c r="K134" i="27" s="1"/>
  <c r="AB94" i="7"/>
  <c r="AF94" i="7"/>
  <c r="S101" i="7" l="1"/>
  <c r="G134" i="27" s="1"/>
  <c r="F134" i="27"/>
  <c r="O102" i="7"/>
  <c r="D135" i="27" s="1"/>
  <c r="V102" i="7"/>
  <c r="I135" i="27" s="1"/>
  <c r="AC94" i="7"/>
  <c r="U102" i="7" l="1"/>
  <c r="H135" i="27" s="1"/>
  <c r="P102" i="7"/>
  <c r="E135" i="27" s="1"/>
  <c r="W102" i="7"/>
  <c r="J135" i="27" s="1"/>
  <c r="R102" i="7"/>
  <c r="AJ94" i="7"/>
  <c r="AA95" i="7"/>
  <c r="AE94" i="7"/>
  <c r="Q102" i="7" l="1"/>
  <c r="O103" i="7" s="1"/>
  <c r="AF95" i="7"/>
  <c r="AB95" i="7"/>
  <c r="X102" i="7" l="1"/>
  <c r="K135" i="27" s="1"/>
  <c r="S102" i="7"/>
  <c r="G135" i="27" s="1"/>
  <c r="F135" i="27"/>
  <c r="V103" i="7"/>
  <c r="I136" i="27" s="1"/>
  <c r="D136" i="27"/>
  <c r="W103" i="7"/>
  <c r="J136" i="27" s="1"/>
  <c r="P103" i="7"/>
  <c r="E136" i="27" s="1"/>
  <c r="U103" i="7"/>
  <c r="H136" i="27" s="1"/>
  <c r="R103" i="7"/>
  <c r="AC95" i="7"/>
  <c r="Q103" i="7" l="1"/>
  <c r="X103" i="7" s="1"/>
  <c r="K136" i="27" s="1"/>
  <c r="AJ95" i="7"/>
  <c r="AA96" i="7"/>
  <c r="AE95" i="7"/>
  <c r="S103" i="7" l="1"/>
  <c r="G136" i="27" s="1"/>
  <c r="F136" i="27"/>
  <c r="O104" i="7"/>
  <c r="AB96" i="7"/>
  <c r="AF96" i="7"/>
  <c r="W104" i="7" l="1"/>
  <c r="J137" i="27" s="1"/>
  <c r="R104" i="7"/>
  <c r="D137" i="27"/>
  <c r="V104" i="7"/>
  <c r="I137" i="27" s="1"/>
  <c r="P104" i="7"/>
  <c r="U104" i="7"/>
  <c r="H137" i="27" s="1"/>
  <c r="AC96" i="7"/>
  <c r="Q104" i="7" l="1"/>
  <c r="S104" i="7" s="1"/>
  <c r="G137" i="27" s="1"/>
  <c r="E137" i="27"/>
  <c r="AJ96" i="7"/>
  <c r="AA97" i="7"/>
  <c r="AE96" i="7"/>
  <c r="X104" i="7" l="1"/>
  <c r="K137" i="27" s="1"/>
  <c r="O105" i="7"/>
  <c r="R105" i="7" s="1"/>
  <c r="F137" i="27"/>
  <c r="AB97" i="7"/>
  <c r="AF97" i="7"/>
  <c r="U105" i="7" l="1"/>
  <c r="H138" i="27" s="1"/>
  <c r="P105" i="7"/>
  <c r="E138" i="27" s="1"/>
  <c r="V105" i="7"/>
  <c r="I138" i="27" s="1"/>
  <c r="D138" i="27"/>
  <c r="W105" i="7"/>
  <c r="J138" i="27" s="1"/>
  <c r="AC97" i="7"/>
  <c r="Q105" i="7" l="1"/>
  <c r="F138" i="27" s="1"/>
  <c r="O106" i="7"/>
  <c r="AJ97" i="7"/>
  <c r="AA98" i="7"/>
  <c r="AE97" i="7"/>
  <c r="X105" i="7" l="1"/>
  <c r="K138" i="27" s="1"/>
  <c r="S105" i="7"/>
  <c r="G138" i="27" s="1"/>
  <c r="W106" i="7"/>
  <c r="J139" i="27" s="1"/>
  <c r="V106" i="7"/>
  <c r="I139" i="27" s="1"/>
  <c r="R106" i="7"/>
  <c r="D139" i="27"/>
  <c r="P106" i="7"/>
  <c r="E139" i="27" s="1"/>
  <c r="U106" i="7"/>
  <c r="H139" i="27" s="1"/>
  <c r="AB98" i="7"/>
  <c r="AF98" i="7"/>
  <c r="Q106" i="7" l="1"/>
  <c r="X106" i="7" s="1"/>
  <c r="K139" i="27" s="1"/>
  <c r="AC98" i="7"/>
  <c r="S106" i="7" l="1"/>
  <c r="G139" i="27" s="1"/>
  <c r="O107" i="7"/>
  <c r="F139" i="27"/>
  <c r="AJ98" i="7"/>
  <c r="AA99" i="7"/>
  <c r="AE98" i="7"/>
  <c r="D140" i="27" l="1"/>
  <c r="V107" i="7"/>
  <c r="I140" i="27" s="1"/>
  <c r="R107" i="7"/>
  <c r="W107" i="7"/>
  <c r="J140" i="27" s="1"/>
  <c r="P107" i="7"/>
  <c r="E140" i="27" s="1"/>
  <c r="U107" i="7"/>
  <c r="H140" i="27" s="1"/>
  <c r="AF99" i="7"/>
  <c r="AB99" i="7"/>
  <c r="Q107" i="7" l="1"/>
  <c r="S107" i="7" s="1"/>
  <c r="G140" i="27" s="1"/>
  <c r="AC99" i="7"/>
  <c r="X107" i="7" l="1"/>
  <c r="K140" i="27" s="1"/>
  <c r="F140" i="27"/>
  <c r="O108" i="7"/>
  <c r="AJ99" i="7"/>
  <c r="AA100" i="7"/>
  <c r="AE99" i="7"/>
  <c r="W108" i="7" l="1"/>
  <c r="J141" i="27" s="1"/>
  <c r="P108" i="7"/>
  <c r="U108" i="7"/>
  <c r="H141" i="27" s="1"/>
  <c r="D141" i="27"/>
  <c r="R108" i="7"/>
  <c r="V108" i="7"/>
  <c r="I141" i="27" s="1"/>
  <c r="AF100" i="7"/>
  <c r="AB100" i="7"/>
  <c r="Q108" i="7" l="1"/>
  <c r="S108" i="7" s="1"/>
  <c r="G141" i="27" s="1"/>
  <c r="E141" i="27"/>
  <c r="AC100" i="7"/>
  <c r="F141" i="27" l="1"/>
  <c r="O109" i="7"/>
  <c r="D142" i="27" s="1"/>
  <c r="X108" i="7"/>
  <c r="K141" i="27" s="1"/>
  <c r="AJ100" i="7"/>
  <c r="AA101" i="7"/>
  <c r="AE100" i="7"/>
  <c r="R109" i="7" l="1"/>
  <c r="W109" i="7"/>
  <c r="J142" i="27" s="1"/>
  <c r="V109" i="7"/>
  <c r="I142" i="27" s="1"/>
  <c r="U109" i="7"/>
  <c r="H142" i="27" s="1"/>
  <c r="P109" i="7"/>
  <c r="E142" i="27" s="1"/>
  <c r="AB101" i="7"/>
  <c r="AF101" i="7"/>
  <c r="Q109" i="7" l="1"/>
  <c r="F142" i="27" s="1"/>
  <c r="AC101" i="7"/>
  <c r="S109" i="7" l="1"/>
  <c r="G142" i="27" s="1"/>
  <c r="O110" i="7"/>
  <c r="D143" i="27" s="1"/>
  <c r="X109" i="7"/>
  <c r="K142" i="27" s="1"/>
  <c r="AJ101" i="7"/>
  <c r="AA102" i="7"/>
  <c r="AE101" i="7"/>
  <c r="P110" i="7" l="1"/>
  <c r="E143" i="27" s="1"/>
  <c r="W110" i="7"/>
  <c r="J143" i="27" s="1"/>
  <c r="V110" i="7"/>
  <c r="I143" i="27" s="1"/>
  <c r="U110" i="7"/>
  <c r="H143" i="27" s="1"/>
  <c r="R110" i="7"/>
  <c r="AB102" i="7"/>
  <c r="AF102" i="7"/>
  <c r="Q110" i="7" l="1"/>
  <c r="X110" i="7" s="1"/>
  <c r="K143" i="27" s="1"/>
  <c r="AC102" i="7"/>
  <c r="F143" i="27" l="1"/>
  <c r="O111" i="7"/>
  <c r="D144" i="27" s="1"/>
  <c r="S110" i="7"/>
  <c r="G143" i="27" s="1"/>
  <c r="V111" i="7"/>
  <c r="I144" i="27" s="1"/>
  <c r="P111" i="7"/>
  <c r="W111" i="7"/>
  <c r="J144" i="27" s="1"/>
  <c r="R111" i="7"/>
  <c r="U111" i="7"/>
  <c r="H144" i="27" s="1"/>
  <c r="AJ102" i="7"/>
  <c r="AA103" i="7"/>
  <c r="AE102" i="7"/>
  <c r="E144" i="27" l="1"/>
  <c r="Q111" i="7"/>
  <c r="S111" i="7" s="1"/>
  <c r="G144" i="27" s="1"/>
  <c r="AF103" i="7"/>
  <c r="AB103" i="7"/>
  <c r="F144" i="27" l="1"/>
  <c r="O112" i="7"/>
  <c r="X111" i="7"/>
  <c r="K144" i="27" s="1"/>
  <c r="AC103" i="7"/>
  <c r="V112" i="7" l="1"/>
  <c r="I145" i="27" s="1"/>
  <c r="W112" i="7"/>
  <c r="J145" i="27" s="1"/>
  <c r="D145" i="27"/>
  <c r="R112" i="7"/>
  <c r="P112" i="7"/>
  <c r="U112" i="7"/>
  <c r="H145" i="27" s="1"/>
  <c r="AJ103" i="7"/>
  <c r="AA104" i="7"/>
  <c r="AE103" i="7"/>
  <c r="E145" i="27" l="1"/>
  <c r="Q112" i="7"/>
  <c r="X112" i="7" s="1"/>
  <c r="K145" i="27" s="1"/>
  <c r="AB104" i="7"/>
  <c r="AF104" i="7"/>
  <c r="O113" i="7" l="1"/>
  <c r="F145" i="27"/>
  <c r="S112" i="7"/>
  <c r="G145" i="27" s="1"/>
  <c r="AC104" i="7"/>
  <c r="R113" i="7" l="1"/>
  <c r="V113" i="7"/>
  <c r="I146" i="27" s="1"/>
  <c r="P113" i="7"/>
  <c r="D146" i="27"/>
  <c r="U113" i="7"/>
  <c r="H146" i="27" s="1"/>
  <c r="W113" i="7"/>
  <c r="J146" i="27" s="1"/>
  <c r="AJ104" i="7"/>
  <c r="AA105" i="7"/>
  <c r="AE104" i="7"/>
  <c r="E146" i="27" l="1"/>
  <c r="Q113" i="7"/>
  <c r="AB105" i="7"/>
  <c r="AF105" i="7"/>
  <c r="F146" i="27" l="1"/>
  <c r="O114" i="7"/>
  <c r="S113" i="7"/>
  <c r="G146" i="27" s="1"/>
  <c r="X113" i="7"/>
  <c r="K146" i="27" s="1"/>
  <c r="AC105" i="7"/>
  <c r="R114" i="7" l="1"/>
  <c r="V114" i="7"/>
  <c r="I147" i="27" s="1"/>
  <c r="U114" i="7"/>
  <c r="H147" i="27" s="1"/>
  <c r="P114" i="7"/>
  <c r="D147" i="27"/>
  <c r="W114" i="7"/>
  <c r="J147" i="27" s="1"/>
  <c r="AJ105" i="7"/>
  <c r="AA106" i="7"/>
  <c r="AE105" i="7"/>
  <c r="E147" i="27" l="1"/>
  <c r="Q114" i="7"/>
  <c r="X114" i="7" s="1"/>
  <c r="K147" i="27" s="1"/>
  <c r="AB106" i="7"/>
  <c r="AF106" i="7"/>
  <c r="F147" i="27" l="1"/>
  <c r="O115" i="7"/>
  <c r="S114" i="7"/>
  <c r="G147" i="27" s="1"/>
  <c r="AC106" i="7"/>
  <c r="W115" i="7" l="1"/>
  <c r="J148" i="27" s="1"/>
  <c r="U115" i="7"/>
  <c r="H148" i="27" s="1"/>
  <c r="P115" i="7"/>
  <c r="R115" i="7"/>
  <c r="V115" i="7"/>
  <c r="I148" i="27" s="1"/>
  <c r="D148" i="27"/>
  <c r="AJ106" i="7"/>
  <c r="AA107" i="7"/>
  <c r="AE106" i="7"/>
  <c r="Q115" i="7" l="1"/>
  <c r="S115" i="7" s="1"/>
  <c r="G148" i="27" s="1"/>
  <c r="E148" i="27"/>
  <c r="AF107" i="7"/>
  <c r="AB107" i="7"/>
  <c r="X115" i="7" l="1"/>
  <c r="K148" i="27" s="1"/>
  <c r="O116" i="7"/>
  <c r="W116" i="7" s="1"/>
  <c r="J149" i="27" s="1"/>
  <c r="F148" i="27"/>
  <c r="AC107" i="7"/>
  <c r="R116" i="7" l="1"/>
  <c r="D149" i="27"/>
  <c r="U116" i="7"/>
  <c r="H149" i="27" s="1"/>
  <c r="V116" i="7"/>
  <c r="I149" i="27" s="1"/>
  <c r="P116" i="7"/>
  <c r="Q116" i="7" s="1"/>
  <c r="AJ107" i="7"/>
  <c r="AA108" i="7"/>
  <c r="AE107" i="7"/>
  <c r="O117" i="7" l="1"/>
  <c r="W117" i="7" s="1"/>
  <c r="J150" i="27" s="1"/>
  <c r="F149" i="27"/>
  <c r="X116" i="7"/>
  <c r="K149" i="27" s="1"/>
  <c r="E149" i="27"/>
  <c r="S116" i="7"/>
  <c r="G149" i="27" s="1"/>
  <c r="AF108" i="7"/>
  <c r="AB108" i="7"/>
  <c r="R117" i="7" l="1"/>
  <c r="P117" i="7"/>
  <c r="E150" i="27" s="1"/>
  <c r="U117" i="7"/>
  <c r="H150" i="27" s="1"/>
  <c r="V117" i="7"/>
  <c r="I150" i="27" s="1"/>
  <c r="D150" i="27"/>
  <c r="AC108" i="7"/>
  <c r="Q117" i="7" l="1"/>
  <c r="F150" i="27" s="1"/>
  <c r="AJ108" i="7"/>
  <c r="AA109" i="7"/>
  <c r="AE108" i="7"/>
  <c r="O118" i="7" l="1"/>
  <c r="W118" i="7" s="1"/>
  <c r="J151" i="27" s="1"/>
  <c r="X117" i="7"/>
  <c r="K150" i="27" s="1"/>
  <c r="S117" i="7"/>
  <c r="G150" i="27" s="1"/>
  <c r="AB109" i="7"/>
  <c r="AF109" i="7"/>
  <c r="U118" i="7" l="1"/>
  <c r="H151" i="27" s="1"/>
  <c r="V118" i="7"/>
  <c r="I151" i="27" s="1"/>
  <c r="R118" i="7"/>
  <c r="P118" i="7"/>
  <c r="E151" i="27" s="1"/>
  <c r="D151" i="27"/>
  <c r="AC109" i="7"/>
  <c r="Q118" i="7" l="1"/>
  <c r="S118" i="7" s="1"/>
  <c r="G151" i="27" s="1"/>
  <c r="AJ109" i="7"/>
  <c r="AA110" i="7"/>
  <c r="AE109" i="7"/>
  <c r="O119" i="7" l="1"/>
  <c r="V119" i="7" s="1"/>
  <c r="I152" i="27" s="1"/>
  <c r="X118" i="7"/>
  <c r="K151" i="27" s="1"/>
  <c r="F151" i="27"/>
  <c r="AB110" i="7"/>
  <c r="AF110" i="7"/>
  <c r="D152" i="27" l="1"/>
  <c r="R119" i="7"/>
  <c r="P119" i="7"/>
  <c r="U119" i="7"/>
  <c r="H152" i="27" s="1"/>
  <c r="W119" i="7"/>
  <c r="J152" i="27" s="1"/>
  <c r="Q119" i="7"/>
  <c r="S119" i="7" s="1"/>
  <c r="G152" i="27" s="1"/>
  <c r="E152" i="27"/>
  <c r="AC110" i="7"/>
  <c r="F152" i="27" l="1"/>
  <c r="X119" i="7"/>
  <c r="K152" i="27" s="1"/>
  <c r="O120" i="7"/>
  <c r="R120" i="7" s="1"/>
  <c r="AJ110" i="7"/>
  <c r="AA111" i="7"/>
  <c r="AE110" i="7"/>
  <c r="P120" i="7" l="1"/>
  <c r="E153" i="27" s="1"/>
  <c r="D153" i="27"/>
  <c r="W120" i="7"/>
  <c r="J153" i="27" s="1"/>
  <c r="V120" i="7"/>
  <c r="I153" i="27" s="1"/>
  <c r="U120" i="7"/>
  <c r="H153" i="27" s="1"/>
  <c r="AB111" i="7"/>
  <c r="AF111" i="7"/>
  <c r="Q120" i="7" l="1"/>
  <c r="O121" i="7" s="1"/>
  <c r="V121" i="7" s="1"/>
  <c r="I154" i="27" s="1"/>
  <c r="AC111" i="7"/>
  <c r="D154" i="27" l="1"/>
  <c r="W121" i="7"/>
  <c r="J154" i="27" s="1"/>
  <c r="P121" i="7"/>
  <c r="E154" i="27" s="1"/>
  <c r="F153" i="27"/>
  <c r="R121" i="7"/>
  <c r="X120" i="7"/>
  <c r="K153" i="27" s="1"/>
  <c r="U121" i="7"/>
  <c r="H154" i="27" s="1"/>
  <c r="S120" i="7"/>
  <c r="G153" i="27" s="1"/>
  <c r="AJ111" i="7"/>
  <c r="AA112" i="7"/>
  <c r="AE111" i="7"/>
  <c r="Q121" i="7" l="1"/>
  <c r="S121" i="7" s="1"/>
  <c r="G154" i="27" s="1"/>
  <c r="AB112" i="7"/>
  <c r="AF112" i="7"/>
  <c r="F154" i="27" l="1"/>
  <c r="O122" i="7"/>
  <c r="W122" i="7" s="1"/>
  <c r="J155" i="27" s="1"/>
  <c r="X121" i="7"/>
  <c r="K154" i="27" s="1"/>
  <c r="AC112" i="7"/>
  <c r="R122" i="7" l="1"/>
  <c r="U122" i="7"/>
  <c r="H155" i="27" s="1"/>
  <c r="P122" i="7"/>
  <c r="D155" i="27"/>
  <c r="V122" i="7"/>
  <c r="I155" i="27" s="1"/>
  <c r="AJ112" i="7"/>
  <c r="AA113" i="7"/>
  <c r="AE112" i="7"/>
  <c r="Q122" i="7" l="1"/>
  <c r="F155" i="27" s="1"/>
  <c r="E155" i="27"/>
  <c r="AB113" i="7"/>
  <c r="AF113" i="7"/>
  <c r="O123" i="7" l="1"/>
  <c r="S122" i="7"/>
  <c r="G155" i="27" s="1"/>
  <c r="X122" i="7"/>
  <c r="K155" i="27" s="1"/>
  <c r="V123" i="7"/>
  <c r="I156" i="27" s="1"/>
  <c r="P123" i="7"/>
  <c r="E156" i="27" s="1"/>
  <c r="D156" i="27"/>
  <c r="W123" i="7"/>
  <c r="J156" i="27" s="1"/>
  <c r="U123" i="7"/>
  <c r="H156" i="27" s="1"/>
  <c r="R123" i="7"/>
  <c r="AC113" i="7"/>
  <c r="Q123" i="7" l="1"/>
  <c r="S123" i="7" s="1"/>
  <c r="G156" i="27" s="1"/>
  <c r="AJ113" i="7"/>
  <c r="AA114" i="7"/>
  <c r="AE113" i="7"/>
  <c r="X123" i="7" l="1"/>
  <c r="K156" i="27" s="1"/>
  <c r="F156" i="27"/>
  <c r="O124" i="7"/>
  <c r="W124" i="7" s="1"/>
  <c r="J157" i="27" s="1"/>
  <c r="D157" i="27"/>
  <c r="U124" i="7"/>
  <c r="H157" i="27" s="1"/>
  <c r="V124" i="7"/>
  <c r="I157" i="27" s="1"/>
  <c r="P124" i="7"/>
  <c r="E157" i="27" s="1"/>
  <c r="R124" i="7"/>
  <c r="AF114" i="7"/>
  <c r="AB114" i="7"/>
  <c r="Q124" i="7" l="1"/>
  <c r="O125" i="7" s="1"/>
  <c r="AC114" i="7"/>
  <c r="X124" i="7" l="1"/>
  <c r="K157" i="27" s="1"/>
  <c r="V125" i="7"/>
  <c r="I158" i="27" s="1"/>
  <c r="D158" i="27"/>
  <c r="R125" i="7"/>
  <c r="P125" i="7"/>
  <c r="E158" i="27" s="1"/>
  <c r="U125" i="7"/>
  <c r="H158" i="27" s="1"/>
  <c r="W125" i="7"/>
  <c r="J158" i="27" s="1"/>
  <c r="S124" i="7"/>
  <c r="G157" i="27" s="1"/>
  <c r="F157" i="27"/>
  <c r="AJ114" i="7"/>
  <c r="AA115" i="7"/>
  <c r="AE114" i="7"/>
  <c r="Q125" i="7" l="1"/>
  <c r="F158" i="27" s="1"/>
  <c r="AB115" i="7"/>
  <c r="AF115" i="7"/>
  <c r="X125" i="7" l="1"/>
  <c r="K158" i="27" s="1"/>
  <c r="S125" i="7"/>
  <c r="G158" i="27" s="1"/>
  <c r="O126" i="7"/>
  <c r="D159" i="27" s="1"/>
  <c r="AC115" i="7"/>
  <c r="V126" i="7" l="1"/>
  <c r="I159" i="27" s="1"/>
  <c r="U126" i="7"/>
  <c r="H159" i="27" s="1"/>
  <c r="P126" i="7"/>
  <c r="E159" i="27" s="1"/>
  <c r="R126" i="7"/>
  <c r="W126" i="7"/>
  <c r="J159" i="27" s="1"/>
  <c r="AJ115" i="7"/>
  <c r="AA116" i="7"/>
  <c r="AE115" i="7"/>
  <c r="Q126" i="7" l="1"/>
  <c r="F159" i="27" s="1"/>
  <c r="AB116" i="7"/>
  <c r="AF116" i="7"/>
  <c r="X126" i="7" l="1"/>
  <c r="K159" i="27" s="1"/>
  <c r="S126" i="7"/>
  <c r="G159" i="27" s="1"/>
  <c r="O127" i="7"/>
  <c r="R127" i="7" s="1"/>
  <c r="AC116" i="7"/>
  <c r="P127" i="7" l="1"/>
  <c r="E160" i="27" s="1"/>
  <c r="W127" i="7"/>
  <c r="J160" i="27" s="1"/>
  <c r="U127" i="7"/>
  <c r="H160" i="27" s="1"/>
  <c r="D160" i="27"/>
  <c r="V127" i="7"/>
  <c r="I160" i="27" s="1"/>
  <c r="AJ116" i="7"/>
  <c r="AA117" i="7"/>
  <c r="AE116" i="7"/>
  <c r="Q127" i="7" l="1"/>
  <c r="O128" i="7" s="1"/>
  <c r="P128" i="7" s="1"/>
  <c r="E161" i="27" s="1"/>
  <c r="AB117" i="7"/>
  <c r="AF117" i="7"/>
  <c r="F160" i="27" l="1"/>
  <c r="S127" i="7"/>
  <c r="G160" i="27" s="1"/>
  <c r="W128" i="7"/>
  <c r="J161" i="27" s="1"/>
  <c r="V128" i="7"/>
  <c r="I161" i="27" s="1"/>
  <c r="X127" i="7"/>
  <c r="K160" i="27" s="1"/>
  <c r="U128" i="7"/>
  <c r="H161" i="27" s="1"/>
  <c r="D161" i="27"/>
  <c r="R128" i="7"/>
  <c r="Q128" i="7" s="1"/>
  <c r="F161" i="27" s="1"/>
  <c r="AC117" i="7"/>
  <c r="AE117" i="7" s="1"/>
  <c r="O129" i="7" l="1"/>
  <c r="W129" i="7" s="1"/>
  <c r="J162" i="27" s="1"/>
  <c r="S128" i="7"/>
  <c r="G161" i="27" s="1"/>
  <c r="X128" i="7"/>
  <c r="K161" i="27" s="1"/>
  <c r="U129" i="7"/>
  <c r="H162" i="27" s="1"/>
  <c r="AJ117" i="7"/>
  <c r="AA118" i="7"/>
  <c r="R129" i="7" l="1"/>
  <c r="D162" i="27"/>
  <c r="V129" i="7"/>
  <c r="I162" i="27" s="1"/>
  <c r="P129" i="7"/>
  <c r="E162" i="27" s="1"/>
  <c r="AF118" i="7"/>
  <c r="AB118" i="7"/>
  <c r="Q129" i="7" l="1"/>
  <c r="S129" i="7" s="1"/>
  <c r="G162" i="27" s="1"/>
  <c r="AC118" i="7"/>
  <c r="F162" i="27" l="1"/>
  <c r="O130" i="7"/>
  <c r="W130" i="7" s="1"/>
  <c r="J163" i="27" s="1"/>
  <c r="X129" i="7"/>
  <c r="K162" i="27" s="1"/>
  <c r="AJ118" i="7"/>
  <c r="AA119" i="7"/>
  <c r="AE118" i="7"/>
  <c r="P130" i="7" l="1"/>
  <c r="E163" i="27" s="1"/>
  <c r="R130" i="7"/>
  <c r="Q130" i="7" s="1"/>
  <c r="F163" i="27" s="1"/>
  <c r="D163" i="27"/>
  <c r="V130" i="7"/>
  <c r="I163" i="27" s="1"/>
  <c r="U130" i="7"/>
  <c r="H163" i="27" s="1"/>
  <c r="AB119" i="7"/>
  <c r="AF119" i="7"/>
  <c r="O131" i="7" l="1"/>
  <c r="W131" i="7" s="1"/>
  <c r="J164" i="27" s="1"/>
  <c r="S130" i="7"/>
  <c r="G163" i="27" s="1"/>
  <c r="X130" i="7"/>
  <c r="K163" i="27" s="1"/>
  <c r="AC119" i="7"/>
  <c r="P131" i="7" l="1"/>
  <c r="R131" i="7"/>
  <c r="U131" i="7"/>
  <c r="H164" i="27" s="1"/>
  <c r="V131" i="7"/>
  <c r="I164" i="27" s="1"/>
  <c r="D164" i="27"/>
  <c r="AJ119" i="7"/>
  <c r="AA120" i="7"/>
  <c r="AE119" i="7"/>
  <c r="Q131" i="7" l="1"/>
  <c r="X131" i="7" s="1"/>
  <c r="K164" i="27" s="1"/>
  <c r="E164" i="27"/>
  <c r="AF120" i="7"/>
  <c r="AB120" i="7"/>
  <c r="O132" i="7" l="1"/>
  <c r="V132" i="7" s="1"/>
  <c r="I165" i="27" s="1"/>
  <c r="F164" i="27"/>
  <c r="S131" i="7"/>
  <c r="G164" i="27" s="1"/>
  <c r="AC120" i="7"/>
  <c r="U132" i="7" l="1"/>
  <c r="H165" i="27" s="1"/>
  <c r="W132" i="7"/>
  <c r="J165" i="27" s="1"/>
  <c r="D165" i="27"/>
  <c r="P132" i="7"/>
  <c r="E165" i="27" s="1"/>
  <c r="R132" i="7"/>
  <c r="AJ120" i="7"/>
  <c r="AA121" i="7"/>
  <c r="AE120" i="7"/>
  <c r="Q132" i="7" l="1"/>
  <c r="S132" i="7" s="1"/>
  <c r="G165" i="27" s="1"/>
  <c r="AF121" i="7"/>
  <c r="AB121" i="7"/>
  <c r="F165" i="27" l="1"/>
  <c r="X132" i="7"/>
  <c r="K165" i="27" s="1"/>
  <c r="O133" i="7"/>
  <c r="U133" i="7" s="1"/>
  <c r="H166" i="27" s="1"/>
  <c r="AC121" i="7"/>
  <c r="P133" i="7" l="1"/>
  <c r="E166" i="27" s="1"/>
  <c r="D166" i="27"/>
  <c r="R133" i="7"/>
  <c r="V133" i="7"/>
  <c r="I166" i="27" s="1"/>
  <c r="W133" i="7"/>
  <c r="J166" i="27" s="1"/>
  <c r="AJ121" i="7"/>
  <c r="AA122" i="7"/>
  <c r="AE121" i="7"/>
  <c r="Q133" i="7" l="1"/>
  <c r="F166" i="27" s="1"/>
  <c r="AB122" i="7"/>
  <c r="AF122" i="7"/>
  <c r="O134" i="7" l="1"/>
  <c r="R134" i="7" s="1"/>
  <c r="X133" i="7"/>
  <c r="K166" i="27" s="1"/>
  <c r="S133" i="7"/>
  <c r="G166" i="27" s="1"/>
  <c r="P134" i="7"/>
  <c r="E167" i="27" s="1"/>
  <c r="U134" i="7"/>
  <c r="H167" i="27" s="1"/>
  <c r="V134" i="7"/>
  <c r="I167" i="27" s="1"/>
  <c r="W134" i="7"/>
  <c r="J167" i="27" s="1"/>
  <c r="D167" i="27"/>
  <c r="AC122" i="7"/>
  <c r="Q134" i="7" l="1"/>
  <c r="X134" i="7" s="1"/>
  <c r="K167" i="27" s="1"/>
  <c r="AJ122" i="7"/>
  <c r="AA123" i="7"/>
  <c r="AE122" i="7"/>
  <c r="F167" i="27" l="1"/>
  <c r="O135" i="7"/>
  <c r="V135" i="7" s="1"/>
  <c r="I168" i="27" s="1"/>
  <c r="S134" i="7"/>
  <c r="G167" i="27" s="1"/>
  <c r="AB123" i="7"/>
  <c r="AF123" i="7"/>
  <c r="U135" i="7" l="1"/>
  <c r="H168" i="27" s="1"/>
  <c r="R135" i="7"/>
  <c r="W135" i="7"/>
  <c r="J168" i="27" s="1"/>
  <c r="D168" i="27"/>
  <c r="P135" i="7"/>
  <c r="E168" i="27" s="1"/>
  <c r="AC123" i="7"/>
  <c r="Q135" i="7" l="1"/>
  <c r="F168" i="27" s="1"/>
  <c r="AJ123" i="7"/>
  <c r="AA124" i="7"/>
  <c r="AE123" i="7"/>
  <c r="S135" i="7" l="1"/>
  <c r="G168" i="27" s="1"/>
  <c r="X135" i="7"/>
  <c r="K168" i="27" s="1"/>
  <c r="O136" i="7"/>
  <c r="D169" i="27" s="1"/>
  <c r="V136" i="7"/>
  <c r="I169" i="27" s="1"/>
  <c r="P136" i="7"/>
  <c r="E169" i="27" s="1"/>
  <c r="AF124" i="7"/>
  <c r="AB124" i="7"/>
  <c r="R136" i="7" l="1"/>
  <c r="W136" i="7"/>
  <c r="J169" i="27" s="1"/>
  <c r="U136" i="7"/>
  <c r="H169" i="27" s="1"/>
  <c r="Q136" i="7"/>
  <c r="F169" i="27" s="1"/>
  <c r="AC124" i="7"/>
  <c r="X136" i="7" l="1"/>
  <c r="K169" i="27" s="1"/>
  <c r="O137" i="7"/>
  <c r="P137" i="7" s="1"/>
  <c r="E170" i="27" s="1"/>
  <c r="S136" i="7"/>
  <c r="G169" i="27" s="1"/>
  <c r="AJ124" i="7"/>
  <c r="AA125" i="7"/>
  <c r="AE124" i="7"/>
  <c r="U137" i="7" l="1"/>
  <c r="H170" i="27" s="1"/>
  <c r="D170" i="27"/>
  <c r="W137" i="7"/>
  <c r="J170" i="27" s="1"/>
  <c r="R137" i="7"/>
  <c r="Q137" i="7" s="1"/>
  <c r="V137" i="7"/>
  <c r="I170" i="27" s="1"/>
  <c r="AB125" i="7"/>
  <c r="AF125" i="7"/>
  <c r="X137" i="7" l="1"/>
  <c r="K170" i="27" s="1"/>
  <c r="S137" i="7"/>
  <c r="G170" i="27" s="1"/>
  <c r="O138" i="7"/>
  <c r="F170" i="27"/>
  <c r="AC125" i="7"/>
  <c r="V138" i="7" l="1"/>
  <c r="I171" i="27" s="1"/>
  <c r="U138" i="7"/>
  <c r="H171" i="27" s="1"/>
  <c r="R138" i="7"/>
  <c r="W138" i="7"/>
  <c r="J171" i="27" s="1"/>
  <c r="D171" i="27"/>
  <c r="P138" i="7"/>
  <c r="E171" i="27" s="1"/>
  <c r="AJ125" i="7"/>
  <c r="AA126" i="7"/>
  <c r="AE125" i="7"/>
  <c r="Q138" i="7" l="1"/>
  <c r="F171" i="27" s="1"/>
  <c r="AB126" i="7"/>
  <c r="AF126" i="7"/>
  <c r="X138" i="7" l="1"/>
  <c r="K171" i="27" s="1"/>
  <c r="S138" i="7"/>
  <c r="G171" i="27" s="1"/>
  <c r="O139" i="7"/>
  <c r="AC126" i="7"/>
  <c r="D172" i="27" l="1"/>
  <c r="R139" i="7"/>
  <c r="W139" i="7"/>
  <c r="J172" i="27" s="1"/>
  <c r="U139" i="7"/>
  <c r="H172" i="27" s="1"/>
  <c r="P139" i="7"/>
  <c r="E172" i="27" s="1"/>
  <c r="V139" i="7"/>
  <c r="I172" i="27" s="1"/>
  <c r="AJ126" i="7"/>
  <c r="AA127" i="7"/>
  <c r="AE126" i="7"/>
  <c r="Q139" i="7" l="1"/>
  <c r="AF127" i="7"/>
  <c r="AB127" i="7"/>
  <c r="S139" i="7" l="1"/>
  <c r="G172" i="27" s="1"/>
  <c r="X139" i="7"/>
  <c r="K172" i="27" s="1"/>
  <c r="O140" i="7"/>
  <c r="F172" i="27"/>
  <c r="AC127" i="7"/>
  <c r="V140" i="7" l="1"/>
  <c r="I173" i="27" s="1"/>
  <c r="W140" i="7"/>
  <c r="J173" i="27" s="1"/>
  <c r="P140" i="7"/>
  <c r="E173" i="27" s="1"/>
  <c r="D173" i="27"/>
  <c r="U140" i="7"/>
  <c r="H173" i="27" s="1"/>
  <c r="R140" i="7"/>
  <c r="AJ127" i="7"/>
  <c r="AA128" i="7"/>
  <c r="AE127" i="7"/>
  <c r="Q140" i="7" l="1"/>
  <c r="X140" i="7" s="1"/>
  <c r="K173" i="27" s="1"/>
  <c r="AF128" i="7"/>
  <c r="AB128" i="7"/>
  <c r="S140" i="7" l="1"/>
  <c r="G173" i="27" s="1"/>
  <c r="O141" i="7"/>
  <c r="F173" i="27"/>
  <c r="AC128" i="7"/>
  <c r="R141" i="7" l="1"/>
  <c r="U141" i="7"/>
  <c r="H174" i="27" s="1"/>
  <c r="D174" i="27"/>
  <c r="P141" i="7"/>
  <c r="E174" i="27" s="1"/>
  <c r="V141" i="7"/>
  <c r="I174" i="27" s="1"/>
  <c r="W141" i="7"/>
  <c r="J174" i="27" s="1"/>
  <c r="AJ128" i="7"/>
  <c r="AA129" i="7"/>
  <c r="AE128" i="7"/>
  <c r="Q141" i="7" l="1"/>
  <c r="O142" i="7" s="1"/>
  <c r="AB129" i="7"/>
  <c r="AF129" i="7"/>
  <c r="D175" i="27" l="1"/>
  <c r="R142" i="7"/>
  <c r="F174" i="27"/>
  <c r="X141" i="7"/>
  <c r="K174" i="27" s="1"/>
  <c r="S141" i="7"/>
  <c r="G174" i="27" s="1"/>
  <c r="P142" i="7"/>
  <c r="E175" i="27" s="1"/>
  <c r="V142" i="7"/>
  <c r="I175" i="27" s="1"/>
  <c r="W142" i="7"/>
  <c r="J175" i="27" s="1"/>
  <c r="U142" i="7"/>
  <c r="H175" i="27" s="1"/>
  <c r="AC129" i="7"/>
  <c r="Q142" i="7" l="1"/>
  <c r="AJ129" i="7"/>
  <c r="AA130" i="7"/>
  <c r="AE129" i="7"/>
  <c r="S142" i="7" l="1"/>
  <c r="G175" i="27" s="1"/>
  <c r="F175" i="27"/>
  <c r="O143" i="7"/>
  <c r="X142" i="7"/>
  <c r="K175" i="27" s="1"/>
  <c r="AB130" i="7"/>
  <c r="AF130" i="7"/>
  <c r="D176" i="27" l="1"/>
  <c r="W143" i="7"/>
  <c r="J176" i="27" s="1"/>
  <c r="V143" i="7"/>
  <c r="I176" i="27" s="1"/>
  <c r="R143" i="7"/>
  <c r="P143" i="7"/>
  <c r="U143" i="7"/>
  <c r="H176" i="27" s="1"/>
  <c r="AC130" i="7"/>
  <c r="E176" i="27" l="1"/>
  <c r="Q143" i="7"/>
  <c r="S143" i="7" s="1"/>
  <c r="G176" i="27" s="1"/>
  <c r="AJ130" i="7"/>
  <c r="AA131" i="7"/>
  <c r="AE130" i="7"/>
  <c r="X143" i="7" l="1"/>
  <c r="K176" i="27" s="1"/>
  <c r="O144" i="7"/>
  <c r="F176" i="27"/>
  <c r="AF131" i="7"/>
  <c r="AB131" i="7"/>
  <c r="R144" i="7" l="1"/>
  <c r="D177" i="27"/>
  <c r="P144" i="7"/>
  <c r="U144" i="7"/>
  <c r="H177" i="27" s="1"/>
  <c r="W144" i="7"/>
  <c r="J177" i="27" s="1"/>
  <c r="V144" i="7"/>
  <c r="I177" i="27" s="1"/>
  <c r="AC131" i="7"/>
  <c r="E177" i="27" l="1"/>
  <c r="Q144" i="7"/>
  <c r="AJ131" i="7"/>
  <c r="AA132" i="7"/>
  <c r="AE131" i="7"/>
  <c r="S144" i="7" l="1"/>
  <c r="G177" i="27" s="1"/>
  <c r="F177" i="27"/>
  <c r="O145" i="7"/>
  <c r="X144" i="7"/>
  <c r="K177" i="27" s="1"/>
  <c r="AF132" i="7"/>
  <c r="AB132" i="7"/>
  <c r="D178" i="27" l="1"/>
  <c r="R145" i="7"/>
  <c r="V145" i="7"/>
  <c r="I178" i="27" s="1"/>
  <c r="W145" i="7"/>
  <c r="J178" i="27" s="1"/>
  <c r="P145" i="7"/>
  <c r="U145" i="7"/>
  <c r="H178" i="27" s="1"/>
  <c r="AC132" i="7"/>
  <c r="Q145" i="7" l="1"/>
  <c r="O146" i="7" s="1"/>
  <c r="E178" i="27"/>
  <c r="AJ132" i="7"/>
  <c r="AA133" i="7"/>
  <c r="AE132" i="7"/>
  <c r="X145" i="7" l="1"/>
  <c r="K178" i="27" s="1"/>
  <c r="F178" i="27"/>
  <c r="S145" i="7"/>
  <c r="G178" i="27" s="1"/>
  <c r="V146" i="7"/>
  <c r="I179" i="27" s="1"/>
  <c r="R146" i="7"/>
  <c r="P146" i="7"/>
  <c r="D179" i="27"/>
  <c r="W146" i="7"/>
  <c r="J179" i="27" s="1"/>
  <c r="U146" i="7"/>
  <c r="H179" i="27" s="1"/>
  <c r="AB133" i="7"/>
  <c r="AF133" i="7"/>
  <c r="E179" i="27" l="1"/>
  <c r="Q146" i="7"/>
  <c r="AC133" i="7"/>
  <c r="S146" i="7" l="1"/>
  <c r="G179" i="27" s="1"/>
  <c r="F179" i="27"/>
  <c r="O147" i="7"/>
  <c r="X146" i="7"/>
  <c r="K179" i="27" s="1"/>
  <c r="AJ133" i="7"/>
  <c r="AA134" i="7"/>
  <c r="AE133" i="7"/>
  <c r="D180" i="27" l="1"/>
  <c r="W147" i="7"/>
  <c r="J180" i="27" s="1"/>
  <c r="P147" i="7"/>
  <c r="V147" i="7"/>
  <c r="I180" i="27" s="1"/>
  <c r="R147" i="7"/>
  <c r="U147" i="7"/>
  <c r="H180" i="27" s="1"/>
  <c r="AB134" i="7"/>
  <c r="AF134" i="7"/>
  <c r="E180" i="27" l="1"/>
  <c r="Q147" i="7"/>
  <c r="X147" i="7" s="1"/>
  <c r="K180" i="27" s="1"/>
  <c r="AC134" i="7"/>
  <c r="S147" i="7" l="1"/>
  <c r="G180" i="27" s="1"/>
  <c r="F180" i="27"/>
  <c r="O148" i="7"/>
  <c r="AJ134" i="7"/>
  <c r="AA135" i="7"/>
  <c r="AE134" i="7"/>
  <c r="W148" i="7" l="1"/>
  <c r="J181" i="27" s="1"/>
  <c r="U148" i="7"/>
  <c r="H181" i="27" s="1"/>
  <c r="D181" i="27"/>
  <c r="V148" i="7"/>
  <c r="I181" i="27" s="1"/>
  <c r="P148" i="7"/>
  <c r="R148" i="7"/>
  <c r="AB135" i="7"/>
  <c r="AF135" i="7"/>
  <c r="Q148" i="7" l="1"/>
  <c r="F181" i="27" s="1"/>
  <c r="E181" i="27"/>
  <c r="AC135" i="7"/>
  <c r="S148" i="7" l="1"/>
  <c r="G181" i="27" s="1"/>
  <c r="X148" i="7"/>
  <c r="K181" i="27" s="1"/>
  <c r="O149" i="7"/>
  <c r="R149" i="7" s="1"/>
  <c r="AJ135" i="7"/>
  <c r="AA136" i="7"/>
  <c r="AE135" i="7"/>
  <c r="U149" i="7" l="1"/>
  <c r="H182" i="27" s="1"/>
  <c r="P149" i="7"/>
  <c r="E182" i="27" s="1"/>
  <c r="W149" i="7"/>
  <c r="J182" i="27" s="1"/>
  <c r="V149" i="7"/>
  <c r="I182" i="27" s="1"/>
  <c r="D182" i="27"/>
  <c r="AF136" i="7"/>
  <c r="AB136" i="7"/>
  <c r="Q149" i="7" l="1"/>
  <c r="F182" i="27" s="1"/>
  <c r="AC136" i="7"/>
  <c r="X149" i="7" l="1"/>
  <c r="K182" i="27" s="1"/>
  <c r="O150" i="7"/>
  <c r="D183" i="27" s="1"/>
  <c r="S149" i="7"/>
  <c r="G182" i="27" s="1"/>
  <c r="AJ136" i="7"/>
  <c r="AA137" i="7"/>
  <c r="AE136" i="7"/>
  <c r="V150" i="7" l="1"/>
  <c r="I183" i="27" s="1"/>
  <c r="P150" i="7"/>
  <c r="E183" i="27" s="1"/>
  <c r="R150" i="7"/>
  <c r="W150" i="7"/>
  <c r="J183" i="27" s="1"/>
  <c r="U150" i="7"/>
  <c r="H183" i="27" s="1"/>
  <c r="AF137" i="7"/>
  <c r="AB137" i="7"/>
  <c r="Q150" i="7" l="1"/>
  <c r="S150" i="7" s="1"/>
  <c r="G183" i="27" s="1"/>
  <c r="AC137" i="7"/>
  <c r="F183" i="27" l="1"/>
  <c r="O151" i="7"/>
  <c r="P151" i="7" s="1"/>
  <c r="E184" i="27" s="1"/>
  <c r="X150" i="7"/>
  <c r="K183" i="27" s="1"/>
  <c r="AJ137" i="7"/>
  <c r="AA138" i="7"/>
  <c r="AE137" i="7"/>
  <c r="D184" i="27" l="1"/>
  <c r="U151" i="7"/>
  <c r="H184" i="27" s="1"/>
  <c r="W151" i="7"/>
  <c r="J184" i="27" s="1"/>
  <c r="R151" i="7"/>
  <c r="Q151" i="7" s="1"/>
  <c r="O152" i="7" s="1"/>
  <c r="V151" i="7"/>
  <c r="I184" i="27" s="1"/>
  <c r="AB138" i="7"/>
  <c r="AF138" i="7"/>
  <c r="S151" i="7" l="1"/>
  <c r="G184" i="27" s="1"/>
  <c r="X151" i="7"/>
  <c r="K184" i="27" s="1"/>
  <c r="F184" i="27"/>
  <c r="P152" i="7"/>
  <c r="W152" i="7"/>
  <c r="J185" i="27" s="1"/>
  <c r="V152" i="7"/>
  <c r="I185" i="27" s="1"/>
  <c r="R152" i="7"/>
  <c r="D185" i="27"/>
  <c r="U152" i="7"/>
  <c r="H185" i="27" s="1"/>
  <c r="AC138" i="7"/>
  <c r="Q152" i="7" l="1"/>
  <c r="X152" i="7" s="1"/>
  <c r="K185" i="27" s="1"/>
  <c r="E185" i="27"/>
  <c r="AJ138" i="7"/>
  <c r="AA139" i="7"/>
  <c r="AE138" i="7"/>
  <c r="S152" i="7" l="1"/>
  <c r="G185" i="27" s="1"/>
  <c r="F185" i="27"/>
  <c r="O153" i="7"/>
  <c r="AF139" i="7"/>
  <c r="AB139" i="7"/>
  <c r="D186" i="27" l="1"/>
  <c r="U153" i="7"/>
  <c r="H186" i="27" s="1"/>
  <c r="V153" i="7"/>
  <c r="I186" i="27" s="1"/>
  <c r="P153" i="7"/>
  <c r="W153" i="7"/>
  <c r="J186" i="27" s="1"/>
  <c r="R153" i="7"/>
  <c r="AC139" i="7"/>
  <c r="E186" i="27" l="1"/>
  <c r="Q153" i="7"/>
  <c r="S153" i="7" s="1"/>
  <c r="G186" i="27" s="1"/>
  <c r="AJ139" i="7"/>
  <c r="AA140" i="7"/>
  <c r="AE139" i="7"/>
  <c r="F186" i="27" l="1"/>
  <c r="O154" i="7"/>
  <c r="X153" i="7"/>
  <c r="K186" i="27" s="1"/>
  <c r="AB140" i="7"/>
  <c r="AF140" i="7"/>
  <c r="W154" i="7" l="1"/>
  <c r="J187" i="27" s="1"/>
  <c r="U154" i="7"/>
  <c r="H187" i="27" s="1"/>
  <c r="P154" i="7"/>
  <c r="R154" i="7"/>
  <c r="D187" i="27"/>
  <c r="V154" i="7"/>
  <c r="I187" i="27" s="1"/>
  <c r="AC140" i="7"/>
  <c r="Q154" i="7" l="1"/>
  <c r="X154" i="7" s="1"/>
  <c r="K187" i="27" s="1"/>
  <c r="E187" i="27"/>
  <c r="AJ140" i="7"/>
  <c r="AA141" i="7"/>
  <c r="AE140" i="7"/>
  <c r="S154" i="7" l="1"/>
  <c r="G187" i="27" s="1"/>
  <c r="F187" i="27"/>
  <c r="O155" i="7"/>
  <c r="D188" i="27" s="1"/>
  <c r="AF141" i="7"/>
  <c r="AB141" i="7"/>
  <c r="U155" i="7" l="1"/>
  <c r="H188" i="27" s="1"/>
  <c r="V155" i="7"/>
  <c r="I188" i="27" s="1"/>
  <c r="W155" i="7"/>
  <c r="J188" i="27" s="1"/>
  <c r="P155" i="7"/>
  <c r="E188" i="27" s="1"/>
  <c r="R155" i="7"/>
  <c r="AC141" i="7"/>
  <c r="Q155" i="7" l="1"/>
  <c r="F188" i="27" s="1"/>
  <c r="AJ141" i="7"/>
  <c r="AA142" i="7"/>
  <c r="AE141" i="7"/>
  <c r="S155" i="7" l="1"/>
  <c r="G188" i="27" s="1"/>
  <c r="X155" i="7"/>
  <c r="K188" i="27" s="1"/>
  <c r="O156" i="7"/>
  <c r="V156" i="7" s="1"/>
  <c r="I189" i="27" s="1"/>
  <c r="AF142" i="7"/>
  <c r="AB142" i="7"/>
  <c r="D189" i="27" l="1"/>
  <c r="R156" i="7"/>
  <c r="W156" i="7"/>
  <c r="J189" i="27" s="1"/>
  <c r="U156" i="7"/>
  <c r="H189" i="27" s="1"/>
  <c r="P156" i="7"/>
  <c r="E189" i="27" s="1"/>
  <c r="AC142" i="7"/>
  <c r="Q156" i="7" l="1"/>
  <c r="AJ142" i="7"/>
  <c r="AA143" i="7"/>
  <c r="AE142" i="7"/>
  <c r="F189" i="27" l="1"/>
  <c r="X156" i="7"/>
  <c r="K189" i="27" s="1"/>
  <c r="O157" i="7"/>
  <c r="S156" i="7"/>
  <c r="G189" i="27" s="1"/>
  <c r="AB143" i="7"/>
  <c r="AF143" i="7"/>
  <c r="P157" i="7" l="1"/>
  <c r="W157" i="7"/>
  <c r="J190" i="27" s="1"/>
  <c r="U157" i="7"/>
  <c r="H190" i="27" s="1"/>
  <c r="D190" i="27"/>
  <c r="R157" i="7"/>
  <c r="V157" i="7"/>
  <c r="I190" i="27" s="1"/>
  <c r="AC143" i="7"/>
  <c r="Q157" i="7" l="1"/>
  <c r="O158" i="7" s="1"/>
  <c r="U158" i="7" s="1"/>
  <c r="H191" i="27" s="1"/>
  <c r="V158" i="7"/>
  <c r="I191" i="27" s="1"/>
  <c r="E190" i="27"/>
  <c r="S157" i="7"/>
  <c r="G190" i="27" s="1"/>
  <c r="AJ143" i="7"/>
  <c r="AA144" i="7"/>
  <c r="AE143" i="7"/>
  <c r="P158" i="7" l="1"/>
  <c r="E191" i="27" s="1"/>
  <c r="X157" i="7"/>
  <c r="K190" i="27" s="1"/>
  <c r="W158" i="7"/>
  <c r="J191" i="27" s="1"/>
  <c r="F190" i="27"/>
  <c r="D191" i="27"/>
  <c r="R158" i="7"/>
  <c r="Q158" i="7" s="1"/>
  <c r="AB144" i="7"/>
  <c r="AF144" i="7"/>
  <c r="X158" i="7" l="1"/>
  <c r="K191" i="27" s="1"/>
  <c r="F191" i="27"/>
  <c r="O159" i="7"/>
  <c r="P159" i="7" s="1"/>
  <c r="S158" i="7"/>
  <c r="G191" i="27" s="1"/>
  <c r="U159" i="7"/>
  <c r="H192" i="27" s="1"/>
  <c r="AC144" i="7"/>
  <c r="V159" i="7" l="1"/>
  <c r="I192" i="27" s="1"/>
  <c r="R159" i="7"/>
  <c r="Q159" i="7" s="1"/>
  <c r="D192" i="27"/>
  <c r="W159" i="7"/>
  <c r="J192" i="27" s="1"/>
  <c r="E192" i="27"/>
  <c r="AJ144" i="7"/>
  <c r="AA145" i="7"/>
  <c r="AE144" i="7"/>
  <c r="X159" i="7" l="1"/>
  <c r="K192" i="27" s="1"/>
  <c r="O160" i="7"/>
  <c r="F192" i="27"/>
  <c r="S159" i="7"/>
  <c r="G192" i="27" s="1"/>
  <c r="AF145" i="7"/>
  <c r="AB145" i="7"/>
  <c r="V160" i="7" l="1"/>
  <c r="I193" i="27" s="1"/>
  <c r="R160" i="7"/>
  <c r="U160" i="7"/>
  <c r="H193" i="27" s="1"/>
  <c r="P160" i="7"/>
  <c r="D193" i="27"/>
  <c r="W160" i="7"/>
  <c r="J193" i="27" s="1"/>
  <c r="AC145" i="7"/>
  <c r="Q160" i="7" l="1"/>
  <c r="S160" i="7" s="1"/>
  <c r="G193" i="27" s="1"/>
  <c r="E193" i="27"/>
  <c r="AJ145" i="7"/>
  <c r="AA146" i="7"/>
  <c r="AE145" i="7"/>
  <c r="O161" i="7" l="1"/>
  <c r="D194" i="27" s="1"/>
  <c r="X160" i="7"/>
  <c r="K193" i="27" s="1"/>
  <c r="F193" i="27"/>
  <c r="AB146" i="7"/>
  <c r="AF146" i="7"/>
  <c r="V161" i="7" l="1"/>
  <c r="I194" i="27" s="1"/>
  <c r="R161" i="7"/>
  <c r="W161" i="7"/>
  <c r="J194" i="27" s="1"/>
  <c r="U161" i="7"/>
  <c r="H194" i="27" s="1"/>
  <c r="P161" i="7"/>
  <c r="AC146" i="7"/>
  <c r="Q161" i="7" l="1"/>
  <c r="O162" i="7" s="1"/>
  <c r="D195" i="27" s="1"/>
  <c r="E194" i="27"/>
  <c r="AJ146" i="7"/>
  <c r="AA147" i="7"/>
  <c r="AE146" i="7"/>
  <c r="V162" i="7" l="1"/>
  <c r="I195" i="27" s="1"/>
  <c r="W162" i="7"/>
  <c r="J195" i="27" s="1"/>
  <c r="R162" i="7"/>
  <c r="X161" i="7"/>
  <c r="K194" i="27" s="1"/>
  <c r="P162" i="7"/>
  <c r="E195" i="27" s="1"/>
  <c r="U162" i="7"/>
  <c r="H195" i="27" s="1"/>
  <c r="F194" i="27"/>
  <c r="S161" i="7"/>
  <c r="G194" i="27" s="1"/>
  <c r="AF147" i="7"/>
  <c r="AB147" i="7"/>
  <c r="Q162" i="7" l="1"/>
  <c r="O163" i="7" s="1"/>
  <c r="D196" i="27" s="1"/>
  <c r="AC147" i="7"/>
  <c r="U163" i="7" l="1"/>
  <c r="H196" i="27" s="1"/>
  <c r="P163" i="7"/>
  <c r="E196" i="27" s="1"/>
  <c r="W163" i="7"/>
  <c r="J196" i="27" s="1"/>
  <c r="S162" i="7"/>
  <c r="G195" i="27" s="1"/>
  <c r="R163" i="7"/>
  <c r="V163" i="7"/>
  <c r="I196" i="27" s="1"/>
  <c r="X162" i="7"/>
  <c r="K195" i="27" s="1"/>
  <c r="F195" i="27"/>
  <c r="AJ147" i="7"/>
  <c r="AA148" i="7"/>
  <c r="AE147" i="7"/>
  <c r="Q163" i="7" l="1"/>
  <c r="O164" i="7" s="1"/>
  <c r="P164" i="7" s="1"/>
  <c r="AF148" i="7"/>
  <c r="AB148" i="7"/>
  <c r="R164" i="7" l="1"/>
  <c r="Q164" i="7" s="1"/>
  <c r="U164" i="7"/>
  <c r="H197" i="27" s="1"/>
  <c r="V164" i="7"/>
  <c r="I197" i="27" s="1"/>
  <c r="W164" i="7"/>
  <c r="J197" i="27" s="1"/>
  <c r="D197" i="27"/>
  <c r="X163" i="7"/>
  <c r="K196" i="27" s="1"/>
  <c r="F196" i="27"/>
  <c r="S163" i="7"/>
  <c r="G196" i="27" s="1"/>
  <c r="E197" i="27"/>
  <c r="AC148" i="7"/>
  <c r="S164" i="7" l="1"/>
  <c r="G197" i="27" s="1"/>
  <c r="O165" i="7"/>
  <c r="F197" i="27"/>
  <c r="X164" i="7"/>
  <c r="K197" i="27" s="1"/>
  <c r="AJ148" i="7"/>
  <c r="AA149" i="7"/>
  <c r="AE148" i="7"/>
  <c r="D198" i="27" l="1"/>
  <c r="W165" i="7"/>
  <c r="J198" i="27" s="1"/>
  <c r="U165" i="7"/>
  <c r="H198" i="27" s="1"/>
  <c r="R165" i="7"/>
  <c r="V165" i="7"/>
  <c r="I198" i="27" s="1"/>
  <c r="P165" i="7"/>
  <c r="AB149" i="7"/>
  <c r="AF149" i="7"/>
  <c r="Q165" i="7" l="1"/>
  <c r="E198" i="27"/>
  <c r="AC149" i="7"/>
  <c r="S165" i="7" l="1"/>
  <c r="G198" i="27" s="1"/>
  <c r="F198" i="27"/>
  <c r="O166" i="7"/>
  <c r="X165" i="7"/>
  <c r="K198" i="27" s="1"/>
  <c r="AJ149" i="7"/>
  <c r="AA150" i="7"/>
  <c r="AE149" i="7"/>
  <c r="P166" i="7" l="1"/>
  <c r="U166" i="7"/>
  <c r="H199" i="27" s="1"/>
  <c r="R166" i="7"/>
  <c r="W166" i="7"/>
  <c r="J199" i="27" s="1"/>
  <c r="D199" i="27"/>
  <c r="V166" i="7"/>
  <c r="I199" i="27" s="1"/>
  <c r="AB150" i="7"/>
  <c r="AF150" i="7"/>
  <c r="Q166" i="7" l="1"/>
  <c r="E199" i="27"/>
  <c r="AC150" i="7"/>
  <c r="AE150" i="7" s="1"/>
  <c r="F199" i="27" l="1"/>
  <c r="O167" i="7"/>
  <c r="S166" i="7"/>
  <c r="G199" i="27" s="1"/>
  <c r="X166" i="7"/>
  <c r="K199" i="27" s="1"/>
  <c r="AJ150" i="7"/>
  <c r="AA151" i="7"/>
  <c r="U167" i="7" l="1"/>
  <c r="H200" i="27" s="1"/>
  <c r="P167" i="7"/>
  <c r="R167" i="7"/>
  <c r="W167" i="7"/>
  <c r="J200" i="27" s="1"/>
  <c r="D200" i="27"/>
  <c r="V167" i="7"/>
  <c r="I200" i="27" s="1"/>
  <c r="AF151" i="7"/>
  <c r="AB151" i="7"/>
  <c r="Q167" i="7" l="1"/>
  <c r="E200" i="27"/>
  <c r="AC151" i="7"/>
  <c r="S167" i="7" l="1"/>
  <c r="G200" i="27" s="1"/>
  <c r="F200" i="27"/>
  <c r="O168" i="7"/>
  <c r="X167" i="7"/>
  <c r="K200" i="27" s="1"/>
  <c r="AJ151" i="7"/>
  <c r="AA152" i="7"/>
  <c r="AE151" i="7"/>
  <c r="R168" i="7" l="1"/>
  <c r="V168" i="7"/>
  <c r="I201" i="27" s="1"/>
  <c r="W168" i="7"/>
  <c r="J201" i="27" s="1"/>
  <c r="D201" i="27"/>
  <c r="P168" i="7"/>
  <c r="U168" i="7"/>
  <c r="H201" i="27" s="1"/>
  <c r="AF152" i="7"/>
  <c r="AB152" i="7"/>
  <c r="E201" i="27" l="1"/>
  <c r="Q168" i="7"/>
  <c r="S168" i="7" s="1"/>
  <c r="G201" i="27" s="1"/>
  <c r="AC152" i="7"/>
  <c r="O169" i="7" l="1"/>
  <c r="F201" i="27"/>
  <c r="X168" i="7"/>
  <c r="K201" i="27" s="1"/>
  <c r="AJ152" i="7"/>
  <c r="AA153" i="7"/>
  <c r="AE152" i="7"/>
  <c r="D202" i="27" l="1"/>
  <c r="V169" i="7"/>
  <c r="I202" i="27" s="1"/>
  <c r="W169" i="7"/>
  <c r="J202" i="27" s="1"/>
  <c r="U169" i="7"/>
  <c r="H202" i="27" s="1"/>
  <c r="R169" i="7"/>
  <c r="P169" i="7"/>
  <c r="AB153" i="7"/>
  <c r="AF153" i="7"/>
  <c r="Q169" i="7" l="1"/>
  <c r="X169" i="7" s="1"/>
  <c r="K202" i="27" s="1"/>
  <c r="E202" i="27"/>
  <c r="AC153" i="7"/>
  <c r="S169" i="7" l="1"/>
  <c r="G202" i="27" s="1"/>
  <c r="F202" i="27"/>
  <c r="O170" i="7"/>
  <c r="AJ153" i="7"/>
  <c r="AA154" i="7"/>
  <c r="AE153" i="7"/>
  <c r="R170" i="7" l="1"/>
  <c r="P170" i="7"/>
  <c r="D203" i="27"/>
  <c r="W170" i="7"/>
  <c r="J203" i="27" s="1"/>
  <c r="U170" i="7"/>
  <c r="H203" i="27" s="1"/>
  <c r="V170" i="7"/>
  <c r="I203" i="27" s="1"/>
  <c r="AF154" i="7"/>
  <c r="AB154" i="7"/>
  <c r="Q170" i="7" l="1"/>
  <c r="E203" i="27"/>
  <c r="AC154" i="7"/>
  <c r="X170" i="7" l="1"/>
  <c r="K203" i="27" s="1"/>
  <c r="F203" i="27"/>
  <c r="O171" i="7"/>
  <c r="S170" i="7"/>
  <c r="G203" i="27" s="1"/>
  <c r="AJ154" i="7"/>
  <c r="AA155" i="7"/>
  <c r="AE154" i="7"/>
  <c r="R171" i="7" l="1"/>
  <c r="D204" i="27"/>
  <c r="P171" i="7"/>
  <c r="W171" i="7"/>
  <c r="J204" i="27" s="1"/>
  <c r="U171" i="7"/>
  <c r="H204" i="27" s="1"/>
  <c r="V171" i="7"/>
  <c r="I204" i="27" s="1"/>
  <c r="AB155" i="7"/>
  <c r="AF155" i="7"/>
  <c r="Q171" i="7" l="1"/>
  <c r="S171" i="7" s="1"/>
  <c r="G204" i="27" s="1"/>
  <c r="E204" i="27"/>
  <c r="AC155" i="7"/>
  <c r="AE155" i="7" s="1"/>
  <c r="O172" i="7" l="1"/>
  <c r="U172" i="7" s="1"/>
  <c r="H205" i="27" s="1"/>
  <c r="F204" i="27"/>
  <c r="X171" i="7"/>
  <c r="K204" i="27" s="1"/>
  <c r="AJ155" i="7"/>
  <c r="AA156" i="7"/>
  <c r="P172" i="7" l="1"/>
  <c r="E205" i="27" s="1"/>
  <c r="W172" i="7"/>
  <c r="J205" i="27" s="1"/>
  <c r="D205" i="27"/>
  <c r="R172" i="7"/>
  <c r="V172" i="7"/>
  <c r="I205" i="27" s="1"/>
  <c r="AB156" i="7"/>
  <c r="AF156" i="7"/>
  <c r="Q172" i="7" l="1"/>
  <c r="S172" i="7" s="1"/>
  <c r="G205" i="27" s="1"/>
  <c r="AC156" i="7"/>
  <c r="F205" i="27" l="1"/>
  <c r="O173" i="7"/>
  <c r="P173" i="7" s="1"/>
  <c r="X172" i="7"/>
  <c r="K205" i="27" s="1"/>
  <c r="AJ156" i="7"/>
  <c r="AA157" i="7"/>
  <c r="AE156" i="7"/>
  <c r="V173" i="7" l="1"/>
  <c r="I206" i="27" s="1"/>
  <c r="W173" i="7"/>
  <c r="J206" i="27" s="1"/>
  <c r="D206" i="27"/>
  <c r="R173" i="7"/>
  <c r="Q173" i="7" s="1"/>
  <c r="S173" i="7" s="1"/>
  <c r="G206" i="27" s="1"/>
  <c r="U173" i="7"/>
  <c r="H206" i="27" s="1"/>
  <c r="E206" i="27"/>
  <c r="AB157" i="7"/>
  <c r="AF157" i="7"/>
  <c r="X173" i="7" l="1"/>
  <c r="K206" i="27" s="1"/>
  <c r="F206" i="27"/>
  <c r="O174" i="7"/>
  <c r="AC157" i="7"/>
  <c r="D207" i="27" l="1"/>
  <c r="U174" i="7"/>
  <c r="H207" i="27" s="1"/>
  <c r="V174" i="7"/>
  <c r="I207" i="27" s="1"/>
  <c r="P174" i="7"/>
  <c r="R174" i="7"/>
  <c r="W174" i="7"/>
  <c r="J207" i="27" s="1"/>
  <c r="AJ157" i="7"/>
  <c r="AA158" i="7"/>
  <c r="AE157" i="7"/>
  <c r="Q174" i="7" l="1"/>
  <c r="O175" i="7" s="1"/>
  <c r="E207" i="27"/>
  <c r="AF158" i="7"/>
  <c r="AB158" i="7"/>
  <c r="S174" i="7" l="1"/>
  <c r="G207" i="27" s="1"/>
  <c r="F207" i="27"/>
  <c r="X174" i="7"/>
  <c r="K207" i="27" s="1"/>
  <c r="V175" i="7"/>
  <c r="I208" i="27" s="1"/>
  <c r="W175" i="7"/>
  <c r="J208" i="27" s="1"/>
  <c r="U175" i="7"/>
  <c r="H208" i="27" s="1"/>
  <c r="R175" i="7"/>
  <c r="P175" i="7"/>
  <c r="D208" i="27"/>
  <c r="AC158" i="7"/>
  <c r="E208" i="27" l="1"/>
  <c r="Q175" i="7"/>
  <c r="S175" i="7" s="1"/>
  <c r="G208" i="27" s="1"/>
  <c r="AJ158" i="7"/>
  <c r="AA159" i="7"/>
  <c r="AE158" i="7"/>
  <c r="X175" i="7" l="1"/>
  <c r="K208" i="27" s="1"/>
  <c r="F208" i="27"/>
  <c r="O176" i="7"/>
  <c r="AB159" i="7"/>
  <c r="AF159" i="7"/>
  <c r="D209" i="27" l="1"/>
  <c r="W176" i="7"/>
  <c r="J209" i="27" s="1"/>
  <c r="U176" i="7"/>
  <c r="H209" i="27" s="1"/>
  <c r="P176" i="7"/>
  <c r="R176" i="7"/>
  <c r="V176" i="7"/>
  <c r="I209" i="27" s="1"/>
  <c r="AC159" i="7"/>
  <c r="Q176" i="7" l="1"/>
  <c r="F209" i="27" s="1"/>
  <c r="E209" i="27"/>
  <c r="AJ159" i="7"/>
  <c r="AA160" i="7"/>
  <c r="AE159" i="7"/>
  <c r="X176" i="7" l="1"/>
  <c r="K209" i="27" s="1"/>
  <c r="O177" i="7"/>
  <c r="P177" i="7" s="1"/>
  <c r="S176" i="7"/>
  <c r="G209" i="27" s="1"/>
  <c r="AB160" i="7"/>
  <c r="AF160" i="7"/>
  <c r="U177" i="7" l="1"/>
  <c r="H210" i="27" s="1"/>
  <c r="V177" i="7"/>
  <c r="I210" i="27" s="1"/>
  <c r="D210" i="27"/>
  <c r="W177" i="7"/>
  <c r="J210" i="27" s="1"/>
  <c r="R177" i="7"/>
  <c r="Q177" i="7" s="1"/>
  <c r="S177" i="7" s="1"/>
  <c r="G210" i="27" s="1"/>
  <c r="E210" i="27"/>
  <c r="AC160" i="7"/>
  <c r="F210" i="27" l="1"/>
  <c r="O178" i="7"/>
  <c r="X177" i="7"/>
  <c r="K210" i="27" s="1"/>
  <c r="AJ160" i="7"/>
  <c r="AA161" i="7"/>
  <c r="AE160" i="7"/>
  <c r="P178" i="7" l="1"/>
  <c r="R178" i="7"/>
  <c r="V178" i="7"/>
  <c r="I211" i="27" s="1"/>
  <c r="D211" i="27"/>
  <c r="W178" i="7"/>
  <c r="J211" i="27" s="1"/>
  <c r="U178" i="7"/>
  <c r="H211" i="27" s="1"/>
  <c r="AF161" i="7"/>
  <c r="AB161" i="7"/>
  <c r="Q178" i="7" l="1"/>
  <c r="F211" i="27" s="1"/>
  <c r="E211" i="27"/>
  <c r="AC161" i="7"/>
  <c r="AE161" i="7" s="1"/>
  <c r="O179" i="7" l="1"/>
  <c r="V179" i="7" s="1"/>
  <c r="I212" i="27" s="1"/>
  <c r="X178" i="7"/>
  <c r="K211" i="27" s="1"/>
  <c r="S178" i="7"/>
  <c r="G211" i="27" s="1"/>
  <c r="AJ161" i="7"/>
  <c r="AA162" i="7"/>
  <c r="D212" i="27" l="1"/>
  <c r="R179" i="7"/>
  <c r="U179" i="7"/>
  <c r="H212" i="27" s="1"/>
  <c r="W179" i="7"/>
  <c r="J212" i="27" s="1"/>
  <c r="P179" i="7"/>
  <c r="AB162" i="7"/>
  <c r="AF162" i="7"/>
  <c r="Q179" i="7" l="1"/>
  <c r="F212" i="27" s="1"/>
  <c r="E212" i="27"/>
  <c r="AC162" i="7"/>
  <c r="O180" i="7" l="1"/>
  <c r="R180" i="7" s="1"/>
  <c r="S179" i="7"/>
  <c r="G212" i="27" s="1"/>
  <c r="X179" i="7"/>
  <c r="K212" i="27" s="1"/>
  <c r="AJ162" i="7"/>
  <c r="AA163" i="7"/>
  <c r="AE162" i="7"/>
  <c r="V180" i="7" l="1"/>
  <c r="I213" i="27" s="1"/>
  <c r="U180" i="7"/>
  <c r="H213" i="27" s="1"/>
  <c r="D213" i="27"/>
  <c r="P180" i="7"/>
  <c r="E213" i="27" s="1"/>
  <c r="W180" i="7"/>
  <c r="J213" i="27" s="1"/>
  <c r="AB163" i="7"/>
  <c r="AF163" i="7"/>
  <c r="Q180" i="7" l="1"/>
  <c r="S180" i="7" s="1"/>
  <c r="G213" i="27" s="1"/>
  <c r="AC163" i="7"/>
  <c r="O181" i="7" l="1"/>
  <c r="F213" i="27"/>
  <c r="X180" i="7"/>
  <c r="K213" i="27" s="1"/>
  <c r="AJ163" i="7"/>
  <c r="AA164" i="7"/>
  <c r="AE163" i="7"/>
  <c r="W181" i="7" l="1"/>
  <c r="J214" i="27" s="1"/>
  <c r="V181" i="7"/>
  <c r="I214" i="27" s="1"/>
  <c r="D214" i="27"/>
  <c r="U181" i="7"/>
  <c r="H214" i="27" s="1"/>
  <c r="P181" i="7"/>
  <c r="E214" i="27" s="1"/>
  <c r="R181" i="7"/>
  <c r="AF164" i="7"/>
  <c r="AB164" i="7"/>
  <c r="Q181" i="7" l="1"/>
  <c r="S181" i="7" s="1"/>
  <c r="G214" i="27" s="1"/>
  <c r="AC164" i="7"/>
  <c r="AE164" i="7" s="1"/>
  <c r="F214" i="27" l="1"/>
  <c r="O182" i="7"/>
  <c r="U182" i="7" s="1"/>
  <c r="H215" i="27" s="1"/>
  <c r="X181" i="7"/>
  <c r="K214" i="27" s="1"/>
  <c r="AJ164" i="7"/>
  <c r="AA165" i="7"/>
  <c r="D215" i="27" l="1"/>
  <c r="R182" i="7"/>
  <c r="W182" i="7"/>
  <c r="J215" i="27" s="1"/>
  <c r="P182" i="7"/>
  <c r="E215" i="27" s="1"/>
  <c r="V182" i="7"/>
  <c r="I215" i="27" s="1"/>
  <c r="AB165" i="7"/>
  <c r="AF165" i="7"/>
  <c r="Q182" i="7" l="1"/>
  <c r="F215" i="27" s="1"/>
  <c r="AC165" i="7"/>
  <c r="O183" i="7" l="1"/>
  <c r="D216" i="27" s="1"/>
  <c r="X182" i="7"/>
  <c r="K215" i="27" s="1"/>
  <c r="S182" i="7"/>
  <c r="G215" i="27" s="1"/>
  <c r="AJ165" i="7"/>
  <c r="AA166" i="7"/>
  <c r="AE165" i="7"/>
  <c r="U183" i="7" l="1"/>
  <c r="H216" i="27" s="1"/>
  <c r="P183" i="7"/>
  <c r="E216" i="27" s="1"/>
  <c r="V183" i="7"/>
  <c r="I216" i="27" s="1"/>
  <c r="W183" i="7"/>
  <c r="J216" i="27" s="1"/>
  <c r="R183" i="7"/>
  <c r="AB166" i="7"/>
  <c r="AF166" i="7"/>
  <c r="Q183" i="7" l="1"/>
  <c r="S183" i="7" s="1"/>
  <c r="G216" i="27" s="1"/>
  <c r="AC166" i="7"/>
  <c r="X183" i="7" l="1"/>
  <c r="K216" i="27" s="1"/>
  <c r="F216" i="27"/>
  <c r="O184" i="7"/>
  <c r="U184" i="7" s="1"/>
  <c r="H217" i="27" s="1"/>
  <c r="W184" i="7"/>
  <c r="J217" i="27" s="1"/>
  <c r="V184" i="7"/>
  <c r="I217" i="27" s="1"/>
  <c r="AJ166" i="7"/>
  <c r="AA167" i="7"/>
  <c r="AE166" i="7"/>
  <c r="D217" i="27" l="1"/>
  <c r="P184" i="7"/>
  <c r="E217" i="27" s="1"/>
  <c r="R184" i="7"/>
  <c r="AB167" i="7"/>
  <c r="AF167" i="7"/>
  <c r="Q184" i="7" l="1"/>
  <c r="O185" i="7" s="1"/>
  <c r="D218" i="27" s="1"/>
  <c r="F217" i="27"/>
  <c r="X184" i="7"/>
  <c r="K217" i="27" s="1"/>
  <c r="S184" i="7"/>
  <c r="G217" i="27" s="1"/>
  <c r="AC167" i="7"/>
  <c r="AE167" i="7" s="1"/>
  <c r="W185" i="7" l="1"/>
  <c r="J218" i="27" s="1"/>
  <c r="U185" i="7"/>
  <c r="H218" i="27" s="1"/>
  <c r="R185" i="7"/>
  <c r="V185" i="7"/>
  <c r="I218" i="27" s="1"/>
  <c r="P185" i="7"/>
  <c r="E218" i="27" s="1"/>
  <c r="AJ167" i="7"/>
  <c r="AA168" i="7"/>
  <c r="Q185" i="7" l="1"/>
  <c r="AB168" i="7"/>
  <c r="AF168" i="7"/>
  <c r="O186" i="7" l="1"/>
  <c r="F218" i="27"/>
  <c r="X185" i="7"/>
  <c r="K218" i="27" s="1"/>
  <c r="S185" i="7"/>
  <c r="G218" i="27" s="1"/>
  <c r="AC168" i="7"/>
  <c r="W186" i="7" l="1"/>
  <c r="J219" i="27" s="1"/>
  <c r="V186" i="7"/>
  <c r="I219" i="27" s="1"/>
  <c r="D219" i="27"/>
  <c r="P186" i="7"/>
  <c r="U186" i="7"/>
  <c r="H219" i="27" s="1"/>
  <c r="R186" i="7"/>
  <c r="Q186" i="7" s="1"/>
  <c r="AJ168" i="7"/>
  <c r="AA169" i="7"/>
  <c r="AE168" i="7"/>
  <c r="O187" i="7" l="1"/>
  <c r="F219" i="27"/>
  <c r="E219" i="27"/>
  <c r="X186" i="7"/>
  <c r="K219" i="27" s="1"/>
  <c r="S186" i="7"/>
  <c r="G219" i="27" s="1"/>
  <c r="AB169" i="7"/>
  <c r="AF169" i="7"/>
  <c r="W187" i="7" l="1"/>
  <c r="J220" i="27" s="1"/>
  <c r="R187" i="7"/>
  <c r="U187" i="7"/>
  <c r="H220" i="27" s="1"/>
  <c r="D220" i="27"/>
  <c r="V187" i="7"/>
  <c r="I220" i="27" s="1"/>
  <c r="P187" i="7"/>
  <c r="AC169" i="7"/>
  <c r="E220" i="27" l="1"/>
  <c r="Q187" i="7"/>
  <c r="AJ169" i="7"/>
  <c r="AA170" i="7"/>
  <c r="AE169" i="7"/>
  <c r="S187" i="7" l="1"/>
  <c r="G220" i="27" s="1"/>
  <c r="F220" i="27"/>
  <c r="O188" i="7"/>
  <c r="X187" i="7"/>
  <c r="K220" i="27" s="1"/>
  <c r="AB170" i="7"/>
  <c r="AF170" i="7"/>
  <c r="U188" i="7" l="1"/>
  <c r="H221" i="27" s="1"/>
  <c r="V188" i="7"/>
  <c r="I221" i="27" s="1"/>
  <c r="R188" i="7"/>
  <c r="P188" i="7"/>
  <c r="W188" i="7"/>
  <c r="J221" i="27" s="1"/>
  <c r="D221" i="27"/>
  <c r="AC170" i="7"/>
  <c r="AE170" i="7" s="1"/>
  <c r="Q188" i="7" l="1"/>
  <c r="O189" i="7" s="1"/>
  <c r="R189" i="7"/>
  <c r="P189" i="7"/>
  <c r="U189" i="7"/>
  <c r="H222" i="27" s="1"/>
  <c r="W189" i="7"/>
  <c r="J222" i="27" s="1"/>
  <c r="D222" i="27"/>
  <c r="V189" i="7"/>
  <c r="I222" i="27" s="1"/>
  <c r="E221" i="27"/>
  <c r="X188" i="7"/>
  <c r="K221" i="27" s="1"/>
  <c r="AJ170" i="7"/>
  <c r="AA171" i="7"/>
  <c r="F221" i="27" l="1"/>
  <c r="S188" i="7"/>
  <c r="G221" i="27" s="1"/>
  <c r="Q189" i="7"/>
  <c r="X189" i="7" s="1"/>
  <c r="K222" i="27" s="1"/>
  <c r="E222" i="27"/>
  <c r="AF171" i="7"/>
  <c r="AB171" i="7"/>
  <c r="S189" i="7" l="1"/>
  <c r="G222" i="27" s="1"/>
  <c r="F222" i="27"/>
  <c r="O190" i="7"/>
  <c r="AC171" i="7"/>
  <c r="R190" i="7" l="1"/>
  <c r="W190" i="7"/>
  <c r="J223" i="27" s="1"/>
  <c r="U190" i="7"/>
  <c r="H223" i="27" s="1"/>
  <c r="P190" i="7"/>
  <c r="D223" i="27"/>
  <c r="V190" i="7"/>
  <c r="I223" i="27" s="1"/>
  <c r="AJ171" i="7"/>
  <c r="AA172" i="7"/>
  <c r="AE171" i="7"/>
  <c r="Q190" i="7" l="1"/>
  <c r="F223" i="27" s="1"/>
  <c r="E223" i="27"/>
  <c r="AF172" i="7"/>
  <c r="AB172" i="7"/>
  <c r="S190" i="7" l="1"/>
  <c r="G223" i="27" s="1"/>
  <c r="X190" i="7"/>
  <c r="K223" i="27" s="1"/>
  <c r="O191" i="7"/>
  <c r="P191" i="7" s="1"/>
  <c r="E224" i="27" s="1"/>
  <c r="U191" i="7"/>
  <c r="H224" i="27" s="1"/>
  <c r="AC172" i="7"/>
  <c r="AE172" i="7" s="1"/>
  <c r="D224" i="27" l="1"/>
  <c r="W191" i="7"/>
  <c r="J224" i="27" s="1"/>
  <c r="V191" i="7"/>
  <c r="I224" i="27" s="1"/>
  <c r="R191" i="7"/>
  <c r="Q191" i="7" s="1"/>
  <c r="AJ172" i="7"/>
  <c r="AA173" i="7"/>
  <c r="F224" i="27" l="1"/>
  <c r="O192" i="7"/>
  <c r="S191" i="7"/>
  <c r="G224" i="27" s="1"/>
  <c r="X191" i="7"/>
  <c r="K224" i="27" s="1"/>
  <c r="AB173" i="7"/>
  <c r="AF173" i="7"/>
  <c r="W192" i="7" l="1"/>
  <c r="J225" i="27" s="1"/>
  <c r="V192" i="7"/>
  <c r="I225" i="27" s="1"/>
  <c r="U192" i="7"/>
  <c r="H225" i="27" s="1"/>
  <c r="R192" i="7"/>
  <c r="P192" i="7"/>
  <c r="E225" i="27" s="1"/>
  <c r="D225" i="27"/>
  <c r="AC173" i="7"/>
  <c r="AE173" i="7" s="1"/>
  <c r="Q192" i="7" l="1"/>
  <c r="AJ173" i="7"/>
  <c r="AA174" i="7"/>
  <c r="F225" i="27" l="1"/>
  <c r="X192" i="7"/>
  <c r="K225" i="27" s="1"/>
  <c r="S192" i="7"/>
  <c r="G225" i="27" s="1"/>
  <c r="O193" i="7"/>
  <c r="AF174" i="7"/>
  <c r="AB174" i="7"/>
  <c r="W193" i="7" l="1"/>
  <c r="J226" i="27" s="1"/>
  <c r="V193" i="7"/>
  <c r="I226" i="27" s="1"/>
  <c r="U193" i="7"/>
  <c r="H226" i="27" s="1"/>
  <c r="R193" i="7"/>
  <c r="D226" i="27"/>
  <c r="P193" i="7"/>
  <c r="E226" i="27" s="1"/>
  <c r="AC174" i="7"/>
  <c r="Q193" i="7" l="1"/>
  <c r="AJ174" i="7"/>
  <c r="AA175" i="7"/>
  <c r="AE174" i="7"/>
  <c r="F226" i="27" l="1"/>
  <c r="O194" i="7"/>
  <c r="S193" i="7"/>
  <c r="G226" i="27" s="1"/>
  <c r="X193" i="7"/>
  <c r="K226" i="27" s="1"/>
  <c r="AF175" i="7"/>
  <c r="AB175" i="7"/>
  <c r="P194" i="7" l="1"/>
  <c r="W194" i="7"/>
  <c r="J227" i="27" s="1"/>
  <c r="D227" i="27"/>
  <c r="U194" i="7"/>
  <c r="H227" i="27" s="1"/>
  <c r="R194" i="7"/>
  <c r="V194" i="7"/>
  <c r="I227" i="27" s="1"/>
  <c r="AC175" i="7"/>
  <c r="Q194" i="7" l="1"/>
  <c r="X194" i="7" s="1"/>
  <c r="K227" i="27" s="1"/>
  <c r="E227" i="27"/>
  <c r="AJ175" i="7"/>
  <c r="AA176" i="7"/>
  <c r="AE175" i="7"/>
  <c r="S194" i="7" l="1"/>
  <c r="G227" i="27" s="1"/>
  <c r="O195" i="7"/>
  <c r="F227" i="27"/>
  <c r="AF176" i="7"/>
  <c r="AB176" i="7"/>
  <c r="R195" i="7" l="1"/>
  <c r="P195" i="7"/>
  <c r="U195" i="7"/>
  <c r="H228" i="27" s="1"/>
  <c r="D228" i="27"/>
  <c r="V195" i="7"/>
  <c r="I228" i="27" s="1"/>
  <c r="W195" i="7"/>
  <c r="J228" i="27" s="1"/>
  <c r="AC176" i="7"/>
  <c r="Q195" i="7" l="1"/>
  <c r="X195" i="7" s="1"/>
  <c r="K228" i="27" s="1"/>
  <c r="E228" i="27"/>
  <c r="AJ176" i="7"/>
  <c r="AA177" i="7"/>
  <c r="AE176" i="7"/>
  <c r="S195" i="7" l="1"/>
  <c r="G228" i="27" s="1"/>
  <c r="O196" i="7"/>
  <c r="R196" i="7" s="1"/>
  <c r="Q196" i="7" s="1"/>
  <c r="F229" i="27" s="1"/>
  <c r="F228" i="27"/>
  <c r="U196" i="7"/>
  <c r="H229" i="27" s="1"/>
  <c r="P196" i="7"/>
  <c r="W196" i="7"/>
  <c r="J229" i="27" s="1"/>
  <c r="V196" i="7"/>
  <c r="I229" i="27" s="1"/>
  <c r="D229" i="27"/>
  <c r="AF177" i="7"/>
  <c r="AB177" i="7"/>
  <c r="E229" i="27" l="1"/>
  <c r="X196" i="7"/>
  <c r="K229" i="27" s="1"/>
  <c r="S196" i="7"/>
  <c r="G229" i="27" s="1"/>
  <c r="O197" i="7"/>
  <c r="AC177" i="7"/>
  <c r="AE177" i="7" s="1"/>
  <c r="R197" i="7" l="1"/>
  <c r="U197" i="7"/>
  <c r="H230" i="27" s="1"/>
  <c r="P197" i="7"/>
  <c r="W197" i="7"/>
  <c r="J230" i="27" s="1"/>
  <c r="V197" i="7"/>
  <c r="I230" i="27" s="1"/>
  <c r="D230" i="27"/>
  <c r="AJ177" i="7"/>
  <c r="AA178" i="7"/>
  <c r="Q197" i="7" l="1"/>
  <c r="F230" i="27" s="1"/>
  <c r="E230" i="27"/>
  <c r="AF178" i="7"/>
  <c r="AB178" i="7"/>
  <c r="X197" i="7" l="1"/>
  <c r="K230" i="27" s="1"/>
  <c r="S197" i="7"/>
  <c r="G230" i="27" s="1"/>
  <c r="O198" i="7"/>
  <c r="W198" i="7" s="1"/>
  <c r="J231" i="27" s="1"/>
  <c r="AC178" i="7"/>
  <c r="U198" i="7" l="1"/>
  <c r="H231" i="27" s="1"/>
  <c r="V198" i="7"/>
  <c r="I231" i="27" s="1"/>
  <c r="R198" i="7"/>
  <c r="D231" i="27"/>
  <c r="P198" i="7"/>
  <c r="E231" i="27" s="1"/>
  <c r="AJ178" i="7"/>
  <c r="AA179" i="7"/>
  <c r="AE178" i="7"/>
  <c r="Q198" i="7" l="1"/>
  <c r="X198" i="7" s="1"/>
  <c r="K231" i="27" s="1"/>
  <c r="AB179" i="7"/>
  <c r="AF179" i="7"/>
  <c r="O199" i="7" l="1"/>
  <c r="F231" i="27"/>
  <c r="S198" i="7"/>
  <c r="G231" i="27" s="1"/>
  <c r="R199" i="7"/>
  <c r="P199" i="7"/>
  <c r="V199" i="7"/>
  <c r="I232" i="27" s="1"/>
  <c r="W199" i="7"/>
  <c r="J232" i="27" s="1"/>
  <c r="U199" i="7"/>
  <c r="H232" i="27" s="1"/>
  <c r="D232" i="27"/>
  <c r="AC179" i="7"/>
  <c r="AE179" i="7" s="1"/>
  <c r="E232" i="27" l="1"/>
  <c r="Q199" i="7"/>
  <c r="AJ179" i="7"/>
  <c r="AA180" i="7"/>
  <c r="F232" i="27" l="1"/>
  <c r="O200" i="7"/>
  <c r="X199" i="7"/>
  <c r="K232" i="27" s="1"/>
  <c r="S199" i="7"/>
  <c r="G232" i="27" s="1"/>
  <c r="AB180" i="7"/>
  <c r="AF180" i="7"/>
  <c r="R200" i="7" l="1"/>
  <c r="V200" i="7"/>
  <c r="I233" i="27" s="1"/>
  <c r="U200" i="7"/>
  <c r="H233" i="27" s="1"/>
  <c r="D233" i="27"/>
  <c r="P200" i="7"/>
  <c r="W200" i="7"/>
  <c r="J233" i="27" s="1"/>
  <c r="AC180" i="7"/>
  <c r="Q200" i="7" l="1"/>
  <c r="O201" i="7" s="1"/>
  <c r="V201" i="7" s="1"/>
  <c r="I234" i="27" s="1"/>
  <c r="E233" i="27"/>
  <c r="S200" i="7"/>
  <c r="G233" i="27" s="1"/>
  <c r="AJ180" i="7"/>
  <c r="AA181" i="7"/>
  <c r="AE180" i="7"/>
  <c r="U201" i="7" l="1"/>
  <c r="H234" i="27" s="1"/>
  <c r="W201" i="7"/>
  <c r="J234" i="27" s="1"/>
  <c r="P201" i="7"/>
  <c r="F233" i="27"/>
  <c r="R201" i="7"/>
  <c r="Q201" i="7" s="1"/>
  <c r="X201" i="7" s="1"/>
  <c r="K234" i="27" s="1"/>
  <c r="D234" i="27"/>
  <c r="X200" i="7"/>
  <c r="K233" i="27" s="1"/>
  <c r="E234" i="27"/>
  <c r="AB181" i="7"/>
  <c r="AF181" i="7"/>
  <c r="O202" i="7" l="1"/>
  <c r="F234" i="27"/>
  <c r="S201" i="7"/>
  <c r="G234" i="27" s="1"/>
  <c r="AC181" i="7"/>
  <c r="AE181" i="7" s="1"/>
  <c r="W202" i="7" l="1"/>
  <c r="J235" i="27" s="1"/>
  <c r="V202" i="7"/>
  <c r="I235" i="27" s="1"/>
  <c r="D235" i="27"/>
  <c r="U202" i="7"/>
  <c r="H235" i="27" s="1"/>
  <c r="P202" i="7"/>
  <c r="R202" i="7"/>
  <c r="AJ181" i="7"/>
  <c r="AA182" i="7"/>
  <c r="Q202" i="7" l="1"/>
  <c r="F235" i="27" s="1"/>
  <c r="E235" i="27"/>
  <c r="AF182" i="7"/>
  <c r="AB182" i="7"/>
  <c r="S202" i="7" l="1"/>
  <c r="G235" i="27" s="1"/>
  <c r="X202" i="7"/>
  <c r="K235" i="27" s="1"/>
  <c r="O203" i="7"/>
  <c r="U203" i="7" s="1"/>
  <c r="H236" i="27" s="1"/>
  <c r="V203" i="7"/>
  <c r="I236" i="27" s="1"/>
  <c r="P203" i="7"/>
  <c r="R203" i="7"/>
  <c r="AC182" i="7"/>
  <c r="D236" i="27" l="1"/>
  <c r="W203" i="7"/>
  <c r="J236" i="27" s="1"/>
  <c r="Q203" i="7"/>
  <c r="F236" i="27" s="1"/>
  <c r="E236" i="27"/>
  <c r="S203" i="7"/>
  <c r="G236" i="27" s="1"/>
  <c r="X203" i="7"/>
  <c r="K236" i="27" s="1"/>
  <c r="O204" i="7"/>
  <c r="AJ182" i="7"/>
  <c r="AA183" i="7"/>
  <c r="AE182" i="7"/>
  <c r="R204" i="7" l="1"/>
  <c r="U204" i="7"/>
  <c r="H237" i="27" s="1"/>
  <c r="P204" i="7"/>
  <c r="E237" i="27" s="1"/>
  <c r="V204" i="7"/>
  <c r="I237" i="27" s="1"/>
  <c r="W204" i="7"/>
  <c r="J237" i="27" s="1"/>
  <c r="D237" i="27"/>
  <c r="AB183" i="7"/>
  <c r="AF183" i="7"/>
  <c r="Q204" i="7" l="1"/>
  <c r="S204" i="7" s="1"/>
  <c r="G237" i="27" s="1"/>
  <c r="AC183" i="7"/>
  <c r="X204" i="7" l="1"/>
  <c r="K237" i="27" s="1"/>
  <c r="F237" i="27"/>
  <c r="O205" i="7"/>
  <c r="AJ183" i="7"/>
  <c r="AA184" i="7"/>
  <c r="AE183" i="7"/>
  <c r="W205" i="7" l="1"/>
  <c r="J238" i="27" s="1"/>
  <c r="P205" i="7"/>
  <c r="E238" i="27" s="1"/>
  <c r="D238" i="27"/>
  <c r="R205" i="7"/>
  <c r="Q205" i="7" s="1"/>
  <c r="F238" i="27" s="1"/>
  <c r="U205" i="7"/>
  <c r="H238" i="27" s="1"/>
  <c r="V205" i="7"/>
  <c r="I238" i="27" s="1"/>
  <c r="S205" i="7"/>
  <c r="G238" i="27" s="1"/>
  <c r="AB184" i="7"/>
  <c r="AF184" i="7"/>
  <c r="X205" i="7" l="1"/>
  <c r="K238" i="27" s="1"/>
  <c r="O206" i="7"/>
  <c r="AC184" i="7"/>
  <c r="AE184" i="7" s="1"/>
  <c r="P206" i="7" l="1"/>
  <c r="E239" i="27" s="1"/>
  <c r="V206" i="7"/>
  <c r="I239" i="27" s="1"/>
  <c r="U206" i="7"/>
  <c r="H239" i="27" s="1"/>
  <c r="D239" i="27"/>
  <c r="R206" i="7"/>
  <c r="W206" i="7"/>
  <c r="J239" i="27" s="1"/>
  <c r="AJ184" i="7"/>
  <c r="AA185" i="7"/>
  <c r="Q206" i="7" l="1"/>
  <c r="O207" i="7" s="1"/>
  <c r="F239" i="27"/>
  <c r="S206" i="7"/>
  <c r="G239" i="27" s="1"/>
  <c r="X206" i="7"/>
  <c r="K239" i="27" s="1"/>
  <c r="W207" i="7"/>
  <c r="J240" i="27" s="1"/>
  <c r="P207" i="7"/>
  <c r="D240" i="27"/>
  <c r="V207" i="7"/>
  <c r="I240" i="27" s="1"/>
  <c r="U207" i="7"/>
  <c r="H240" i="27" s="1"/>
  <c r="R207" i="7"/>
  <c r="AF185" i="7"/>
  <c r="AB185" i="7"/>
  <c r="Q207" i="7" l="1"/>
  <c r="F240" i="27" s="1"/>
  <c r="O208" i="7"/>
  <c r="E240" i="27"/>
  <c r="S207" i="7"/>
  <c r="G240" i="27" s="1"/>
  <c r="X207" i="7"/>
  <c r="K240" i="27" s="1"/>
  <c r="AC185" i="7"/>
  <c r="P208" i="7" l="1"/>
  <c r="V208" i="7"/>
  <c r="I241" i="27" s="1"/>
  <c r="W208" i="7"/>
  <c r="J241" i="27" s="1"/>
  <c r="D241" i="27"/>
  <c r="U208" i="7"/>
  <c r="H241" i="27" s="1"/>
  <c r="R208" i="7"/>
  <c r="AJ185" i="7"/>
  <c r="AA186" i="7"/>
  <c r="AE185" i="7"/>
  <c r="E241" i="27" l="1"/>
  <c r="Q208" i="7"/>
  <c r="AB186" i="7"/>
  <c r="AF186" i="7"/>
  <c r="F241" i="27" l="1"/>
  <c r="O209" i="7"/>
  <c r="X208" i="7"/>
  <c r="K241" i="27" s="1"/>
  <c r="S208" i="7"/>
  <c r="G241" i="27" s="1"/>
  <c r="AC186" i="7"/>
  <c r="R209" i="7" l="1"/>
  <c r="V209" i="7"/>
  <c r="I242" i="27" s="1"/>
  <c r="W209" i="7"/>
  <c r="J242" i="27" s="1"/>
  <c r="P209" i="7"/>
  <c r="U209" i="7"/>
  <c r="H242" i="27" s="1"/>
  <c r="D242" i="27"/>
  <c r="AJ186" i="7"/>
  <c r="AA187" i="7"/>
  <c r="AE186" i="7"/>
  <c r="Q209" i="7" l="1"/>
  <c r="E242" i="27"/>
  <c r="AB187" i="7"/>
  <c r="AF187" i="7"/>
  <c r="S209" i="7" l="1"/>
  <c r="G242" i="27" s="1"/>
  <c r="F242" i="27"/>
  <c r="O210" i="7"/>
  <c r="X209" i="7"/>
  <c r="K242" i="27" s="1"/>
  <c r="AC187" i="7"/>
  <c r="V210" i="7" l="1"/>
  <c r="I243" i="27" s="1"/>
  <c r="R210" i="7"/>
  <c r="W210" i="7"/>
  <c r="J243" i="27" s="1"/>
  <c r="D243" i="27"/>
  <c r="P210" i="7"/>
  <c r="U210" i="7"/>
  <c r="H243" i="27" s="1"/>
  <c r="AJ187" i="7"/>
  <c r="AA188" i="7"/>
  <c r="AE187" i="7"/>
  <c r="E243" i="27" l="1"/>
  <c r="Q210" i="7"/>
  <c r="AB188" i="7"/>
  <c r="AF188" i="7"/>
  <c r="F243" i="27" l="1"/>
  <c r="O211" i="7"/>
  <c r="S210" i="7"/>
  <c r="G243" i="27" s="1"/>
  <c r="X210" i="7"/>
  <c r="K243" i="27" s="1"/>
  <c r="AC188" i="7"/>
  <c r="U211" i="7" l="1"/>
  <c r="H244" i="27" s="1"/>
  <c r="V211" i="7"/>
  <c r="I244" i="27" s="1"/>
  <c r="P211" i="7"/>
  <c r="R211" i="7"/>
  <c r="W211" i="7"/>
  <c r="J244" i="27" s="1"/>
  <c r="D244" i="27"/>
  <c r="AJ188" i="7"/>
  <c r="AA189" i="7"/>
  <c r="AE188" i="7"/>
  <c r="Q211" i="7" l="1"/>
  <c r="O212" i="7" s="1"/>
  <c r="E244" i="27"/>
  <c r="AB189" i="7"/>
  <c r="AF189" i="7"/>
  <c r="S211" i="7" l="1"/>
  <c r="G244" i="27" s="1"/>
  <c r="X211" i="7"/>
  <c r="K244" i="27" s="1"/>
  <c r="F244" i="27"/>
  <c r="V212" i="7"/>
  <c r="I245" i="27" s="1"/>
  <c r="D245" i="27"/>
  <c r="P212" i="7"/>
  <c r="U212" i="7"/>
  <c r="H245" i="27" s="1"/>
  <c r="R212" i="7"/>
  <c r="W212" i="7"/>
  <c r="J245" i="27" s="1"/>
  <c r="AC189" i="7"/>
  <c r="Q212" i="7" l="1"/>
  <c r="F245" i="27" s="1"/>
  <c r="E245" i="27"/>
  <c r="AJ189" i="7"/>
  <c r="AA190" i="7"/>
  <c r="AE189" i="7"/>
  <c r="X212" i="7" l="1"/>
  <c r="K245" i="27" s="1"/>
  <c r="S212" i="7"/>
  <c r="G245" i="27" s="1"/>
  <c r="O213" i="7"/>
  <c r="D246" i="27" s="1"/>
  <c r="V213" i="7"/>
  <c r="I246" i="27" s="1"/>
  <c r="U213" i="7"/>
  <c r="H246" i="27" s="1"/>
  <c r="AB190" i="7"/>
  <c r="AF190" i="7"/>
  <c r="W213" i="7" l="1"/>
  <c r="J246" i="27" s="1"/>
  <c r="P213" i="7"/>
  <c r="R213" i="7"/>
  <c r="E246" i="27"/>
  <c r="AC190" i="7"/>
  <c r="AE190" i="7" s="1"/>
  <c r="Q213" i="7" l="1"/>
  <c r="F246" i="27" s="1"/>
  <c r="AJ190" i="7"/>
  <c r="AA191" i="7"/>
  <c r="S213" i="7" l="1"/>
  <c r="G246" i="27" s="1"/>
  <c r="O214" i="7"/>
  <c r="D247" i="27" s="1"/>
  <c r="X213" i="7"/>
  <c r="K246" i="27" s="1"/>
  <c r="V214" i="7"/>
  <c r="I247" i="27" s="1"/>
  <c r="U214" i="7"/>
  <c r="H247" i="27" s="1"/>
  <c r="W214" i="7"/>
  <c r="J247" i="27" s="1"/>
  <c r="P214" i="7"/>
  <c r="E247" i="27" s="1"/>
  <c r="R214" i="7"/>
  <c r="AB191" i="7"/>
  <c r="AF191" i="7"/>
  <c r="Q214" i="7" l="1"/>
  <c r="S214" i="7" s="1"/>
  <c r="G247" i="27" s="1"/>
  <c r="AC191" i="7"/>
  <c r="AE191" i="7" s="1"/>
  <c r="O215" i="7" l="1"/>
  <c r="U215" i="7" s="1"/>
  <c r="H248" i="27" s="1"/>
  <c r="X214" i="7"/>
  <c r="K247" i="27" s="1"/>
  <c r="F247" i="27"/>
  <c r="V215" i="7"/>
  <c r="I248" i="27" s="1"/>
  <c r="AJ191" i="7"/>
  <c r="AA192" i="7"/>
  <c r="D248" i="27" l="1"/>
  <c r="R215" i="7"/>
  <c r="P215" i="7"/>
  <c r="E248" i="27" s="1"/>
  <c r="W215" i="7"/>
  <c r="J248" i="27" s="1"/>
  <c r="AB192" i="7"/>
  <c r="AF192" i="7"/>
  <c r="Q215" i="7" l="1"/>
  <c r="X215" i="7" s="1"/>
  <c r="K248" i="27" s="1"/>
  <c r="AC192" i="7"/>
  <c r="O216" i="7" l="1"/>
  <c r="F248" i="27"/>
  <c r="S215" i="7"/>
  <c r="G248" i="27" s="1"/>
  <c r="P216" i="7"/>
  <c r="E249" i="27" s="1"/>
  <c r="D249" i="27"/>
  <c r="R216" i="7"/>
  <c r="U216" i="7"/>
  <c r="H249" i="27" s="1"/>
  <c r="W216" i="7"/>
  <c r="J249" i="27" s="1"/>
  <c r="V216" i="7"/>
  <c r="I249" i="27" s="1"/>
  <c r="AJ192" i="7"/>
  <c r="AA193" i="7"/>
  <c r="AE192" i="7"/>
  <c r="Q216" i="7" l="1"/>
  <c r="O217" i="7" s="1"/>
  <c r="U217" i="7" s="1"/>
  <c r="H250" i="27" s="1"/>
  <c r="V217" i="7"/>
  <c r="I250" i="27" s="1"/>
  <c r="P217" i="7"/>
  <c r="R217" i="7"/>
  <c r="AF193" i="7"/>
  <c r="AB193" i="7"/>
  <c r="D250" i="27" l="1"/>
  <c r="W217" i="7"/>
  <c r="J250" i="27" s="1"/>
  <c r="X216" i="7"/>
  <c r="K249" i="27" s="1"/>
  <c r="F249" i="27"/>
  <c r="S216" i="7"/>
  <c r="G249" i="27" s="1"/>
  <c r="Q217" i="7"/>
  <c r="F250" i="27" s="1"/>
  <c r="E250" i="27"/>
  <c r="AC193" i="7"/>
  <c r="O218" i="7" l="1"/>
  <c r="V218" i="7" s="1"/>
  <c r="I251" i="27" s="1"/>
  <c r="X217" i="7"/>
  <c r="K250" i="27" s="1"/>
  <c r="S217" i="7"/>
  <c r="G250" i="27" s="1"/>
  <c r="AJ193" i="7"/>
  <c r="AA194" i="7"/>
  <c r="AE193" i="7"/>
  <c r="W218" i="7" l="1"/>
  <c r="J251" i="27" s="1"/>
  <c r="R218" i="7"/>
  <c r="U218" i="7"/>
  <c r="H251" i="27" s="1"/>
  <c r="D251" i="27"/>
  <c r="P218" i="7"/>
  <c r="E251" i="27" s="1"/>
  <c r="AB194" i="7"/>
  <c r="AF194" i="7"/>
  <c r="Q218" i="7" l="1"/>
  <c r="F251" i="27" s="1"/>
  <c r="AC194" i="7"/>
  <c r="X218" i="7" l="1"/>
  <c r="K251" i="27" s="1"/>
  <c r="S218" i="7"/>
  <c r="G251" i="27" s="1"/>
  <c r="O219" i="7"/>
  <c r="P219" i="7" s="1"/>
  <c r="V219" i="7"/>
  <c r="I252" i="27" s="1"/>
  <c r="AJ194" i="7"/>
  <c r="AA195" i="7"/>
  <c r="AE194" i="7"/>
  <c r="U219" i="7" l="1"/>
  <c r="H252" i="27" s="1"/>
  <c r="R219" i="7"/>
  <c r="Q219" i="7" s="1"/>
  <c r="S219" i="7" s="1"/>
  <c r="G252" i="27" s="1"/>
  <c r="W219" i="7"/>
  <c r="J252" i="27" s="1"/>
  <c r="D252" i="27"/>
  <c r="E252" i="27"/>
  <c r="AB195" i="7"/>
  <c r="AF195" i="7"/>
  <c r="O220" i="7" l="1"/>
  <c r="U220" i="7" s="1"/>
  <c r="H253" i="27" s="1"/>
  <c r="F252" i="27"/>
  <c r="X219" i="7"/>
  <c r="K252" i="27" s="1"/>
  <c r="AC195" i="7"/>
  <c r="V220" i="7" l="1"/>
  <c r="I253" i="27" s="1"/>
  <c r="W220" i="7"/>
  <c r="J253" i="27" s="1"/>
  <c r="D253" i="27"/>
  <c r="R220" i="7"/>
  <c r="P220" i="7"/>
  <c r="E253" i="27" s="1"/>
  <c r="AJ195" i="7"/>
  <c r="AA196" i="7"/>
  <c r="AE195" i="7"/>
  <c r="Q220" i="7" l="1"/>
  <c r="F253" i="27" s="1"/>
  <c r="AB196" i="7"/>
  <c r="AF196" i="7"/>
  <c r="S220" i="7" l="1"/>
  <c r="G253" i="27" s="1"/>
  <c r="X220" i="7"/>
  <c r="K253" i="27" s="1"/>
  <c r="O221" i="7"/>
  <c r="P221" i="7" s="1"/>
  <c r="AC196" i="7"/>
  <c r="AE196" i="7" s="1"/>
  <c r="R221" i="7" l="1"/>
  <c r="Q221" i="7" s="1"/>
  <c r="U221" i="7"/>
  <c r="H254" i="27" s="1"/>
  <c r="W221" i="7"/>
  <c r="J254" i="27" s="1"/>
  <c r="D254" i="27"/>
  <c r="V221" i="7"/>
  <c r="I254" i="27" s="1"/>
  <c r="E254" i="27"/>
  <c r="AJ196" i="7"/>
  <c r="AA197" i="7"/>
  <c r="S221" i="7" l="1"/>
  <c r="G254" i="27" s="1"/>
  <c r="F254" i="27"/>
  <c r="O222" i="7"/>
  <c r="X221" i="7"/>
  <c r="K254" i="27" s="1"/>
  <c r="AB197" i="7"/>
  <c r="AF197" i="7"/>
  <c r="D255" i="27" l="1"/>
  <c r="V222" i="7"/>
  <c r="I255" i="27" s="1"/>
  <c r="R222" i="7"/>
  <c r="U222" i="7"/>
  <c r="H255" i="27" s="1"/>
  <c r="P222" i="7"/>
  <c r="W222" i="7"/>
  <c r="J255" i="27" s="1"/>
  <c r="AC197" i="7"/>
  <c r="E255" i="27" l="1"/>
  <c r="Q222" i="7"/>
  <c r="AJ197" i="7"/>
  <c r="AA198" i="7"/>
  <c r="AE197" i="7"/>
  <c r="O223" i="7" l="1"/>
  <c r="F255" i="27"/>
  <c r="X222" i="7"/>
  <c r="K255" i="27" s="1"/>
  <c r="S222" i="7"/>
  <c r="G255" i="27" s="1"/>
  <c r="AB198" i="7"/>
  <c r="AF198" i="7"/>
  <c r="R223" i="7" l="1"/>
  <c r="V223" i="7"/>
  <c r="I256" i="27" s="1"/>
  <c r="P223" i="7"/>
  <c r="W223" i="7"/>
  <c r="J256" i="27" s="1"/>
  <c r="D256" i="27"/>
  <c r="U223" i="7"/>
  <c r="H256" i="27" s="1"/>
  <c r="AC198" i="7"/>
  <c r="Q223" i="7" l="1"/>
  <c r="F256" i="27" s="1"/>
  <c r="E256" i="27"/>
  <c r="AJ198" i="7"/>
  <c r="AA199" i="7"/>
  <c r="AE198" i="7"/>
  <c r="S223" i="7" l="1"/>
  <c r="G256" i="27" s="1"/>
  <c r="X223" i="7"/>
  <c r="K256" i="27" s="1"/>
  <c r="O224" i="7"/>
  <c r="V224" i="7" s="1"/>
  <c r="I257" i="27" s="1"/>
  <c r="AF199" i="7"/>
  <c r="AB199" i="7"/>
  <c r="W224" i="7" l="1"/>
  <c r="J257" i="27" s="1"/>
  <c r="D257" i="27"/>
  <c r="P224" i="7"/>
  <c r="E257" i="27" s="1"/>
  <c r="U224" i="7"/>
  <c r="H257" i="27" s="1"/>
  <c r="R224" i="7"/>
  <c r="AC199" i="7"/>
  <c r="Q224" i="7" l="1"/>
  <c r="X224" i="7" s="1"/>
  <c r="K257" i="27" s="1"/>
  <c r="AJ199" i="7"/>
  <c r="AA200" i="7"/>
  <c r="AE199" i="7"/>
  <c r="S224" i="7" l="1"/>
  <c r="G257" i="27" s="1"/>
  <c r="O225" i="7"/>
  <c r="R225" i="7" s="1"/>
  <c r="F257" i="27"/>
  <c r="AB200" i="7"/>
  <c r="AF200" i="7"/>
  <c r="W225" i="7" l="1"/>
  <c r="J258" i="27" s="1"/>
  <c r="P225" i="7"/>
  <c r="E258" i="27" s="1"/>
  <c r="U225" i="7"/>
  <c r="H258" i="27" s="1"/>
  <c r="D258" i="27"/>
  <c r="V225" i="7"/>
  <c r="I258" i="27" s="1"/>
  <c r="AC200" i="7"/>
  <c r="Q225" i="7" l="1"/>
  <c r="X225" i="7" s="1"/>
  <c r="K258" i="27" s="1"/>
  <c r="AJ200" i="7"/>
  <c r="AA201" i="7"/>
  <c r="AE200" i="7"/>
  <c r="S225" i="7" l="1"/>
  <c r="G258" i="27" s="1"/>
  <c r="O226" i="7"/>
  <c r="U226" i="7" s="1"/>
  <c r="H259" i="27" s="1"/>
  <c r="F258" i="27"/>
  <c r="V226" i="7"/>
  <c r="I259" i="27" s="1"/>
  <c r="P226" i="7"/>
  <c r="E259" i="27" s="1"/>
  <c r="R226" i="7"/>
  <c r="D259" i="27"/>
  <c r="W226" i="7"/>
  <c r="J259" i="27" s="1"/>
  <c r="AF201" i="7"/>
  <c r="AB201" i="7"/>
  <c r="Q226" i="7" l="1"/>
  <c r="S226" i="7" s="1"/>
  <c r="G259" i="27" s="1"/>
  <c r="AC201" i="7"/>
  <c r="X226" i="7" l="1"/>
  <c r="K259" i="27" s="1"/>
  <c r="O227" i="7"/>
  <c r="W227" i="7" s="1"/>
  <c r="J260" i="27" s="1"/>
  <c r="F259" i="27"/>
  <c r="AJ201" i="7"/>
  <c r="AA202" i="7"/>
  <c r="AE201" i="7"/>
  <c r="D260" i="27" l="1"/>
  <c r="V227" i="7"/>
  <c r="I260" i="27" s="1"/>
  <c r="P227" i="7"/>
  <c r="E260" i="27" s="1"/>
  <c r="U227" i="7"/>
  <c r="H260" i="27" s="1"/>
  <c r="R227" i="7"/>
  <c r="AB202" i="7"/>
  <c r="AF202" i="7"/>
  <c r="Q227" i="7" l="1"/>
  <c r="F260" i="27" s="1"/>
  <c r="AC202" i="7"/>
  <c r="X227" i="7" l="1"/>
  <c r="K260" i="27" s="1"/>
  <c r="O228" i="7"/>
  <c r="D261" i="27" s="1"/>
  <c r="S227" i="7"/>
  <c r="G260" i="27" s="1"/>
  <c r="AJ202" i="7"/>
  <c r="AA203" i="7"/>
  <c r="AE202" i="7"/>
  <c r="V228" i="7" l="1"/>
  <c r="I261" i="27" s="1"/>
  <c r="U228" i="7"/>
  <c r="H261" i="27" s="1"/>
  <c r="P228" i="7"/>
  <c r="E261" i="27" s="1"/>
  <c r="R228" i="7"/>
  <c r="W228" i="7"/>
  <c r="J261" i="27" s="1"/>
  <c r="AB203" i="7"/>
  <c r="AF203" i="7"/>
  <c r="Q228" i="7" l="1"/>
  <c r="X228" i="7" s="1"/>
  <c r="K261" i="27" s="1"/>
  <c r="AC203" i="7"/>
  <c r="AE203" i="7" s="1"/>
  <c r="F261" i="27" l="1"/>
  <c r="O229" i="7"/>
  <c r="V229" i="7" s="1"/>
  <c r="I262" i="27" s="1"/>
  <c r="S228" i="7"/>
  <c r="G261" i="27" s="1"/>
  <c r="AJ203" i="7"/>
  <c r="AA204" i="7"/>
  <c r="U229" i="7" l="1"/>
  <c r="H262" i="27" s="1"/>
  <c r="P229" i="7"/>
  <c r="E262" i="27" s="1"/>
  <c r="D262" i="27"/>
  <c r="R229" i="7"/>
  <c r="W229" i="7"/>
  <c r="J262" i="27" s="1"/>
  <c r="AB204" i="7"/>
  <c r="AF204" i="7"/>
  <c r="Q229" i="7" l="1"/>
  <c r="O230" i="7" s="1"/>
  <c r="D263" i="27" s="1"/>
  <c r="AC204" i="7"/>
  <c r="V230" i="7" l="1"/>
  <c r="I263" i="27" s="1"/>
  <c r="F262" i="27"/>
  <c r="P230" i="7"/>
  <c r="E263" i="27" s="1"/>
  <c r="R230" i="7"/>
  <c r="W230" i="7"/>
  <c r="J263" i="27" s="1"/>
  <c r="S229" i="7"/>
  <c r="G262" i="27" s="1"/>
  <c r="U230" i="7"/>
  <c r="H263" i="27" s="1"/>
  <c r="X229" i="7"/>
  <c r="K262" i="27" s="1"/>
  <c r="AJ204" i="7"/>
  <c r="AA205" i="7"/>
  <c r="AE204" i="7"/>
  <c r="Q230" i="7" l="1"/>
  <c r="S230" i="7" s="1"/>
  <c r="G263" i="27" s="1"/>
  <c r="O231" i="7"/>
  <c r="W231" i="7" s="1"/>
  <c r="J264" i="27" s="1"/>
  <c r="X230" i="7"/>
  <c r="K263" i="27" s="1"/>
  <c r="V231" i="7"/>
  <c r="I264" i="27" s="1"/>
  <c r="AF205" i="7"/>
  <c r="AB205" i="7"/>
  <c r="F263" i="27" l="1"/>
  <c r="U231" i="7"/>
  <c r="H264" i="27" s="1"/>
  <c r="D264" i="27"/>
  <c r="P231" i="7"/>
  <c r="E264" i="27" s="1"/>
  <c r="R231" i="7"/>
  <c r="AC205" i="7"/>
  <c r="AE205" i="7" s="1"/>
  <c r="Q231" i="7" l="1"/>
  <c r="X231" i="7" s="1"/>
  <c r="K264" i="27" s="1"/>
  <c r="F264" i="27"/>
  <c r="AJ205" i="7"/>
  <c r="AA206" i="7"/>
  <c r="O232" i="7" l="1"/>
  <c r="D265" i="27" s="1"/>
  <c r="S231" i="7"/>
  <c r="G264" i="27" s="1"/>
  <c r="AB206" i="7"/>
  <c r="AF206" i="7"/>
  <c r="V232" i="7" l="1"/>
  <c r="I265" i="27" s="1"/>
  <c r="W232" i="7"/>
  <c r="J265" i="27" s="1"/>
  <c r="P232" i="7"/>
  <c r="E265" i="27" s="1"/>
  <c r="R232" i="7"/>
  <c r="Q232" i="7" s="1"/>
  <c r="U232" i="7"/>
  <c r="H265" i="27" s="1"/>
  <c r="AC206" i="7"/>
  <c r="X232" i="7" l="1"/>
  <c r="K265" i="27" s="1"/>
  <c r="O233" i="7"/>
  <c r="F265" i="27"/>
  <c r="S232" i="7"/>
  <c r="G265" i="27" s="1"/>
  <c r="AJ206" i="7"/>
  <c r="AA207" i="7"/>
  <c r="AE206" i="7"/>
  <c r="V233" i="7" l="1"/>
  <c r="I266" i="27" s="1"/>
  <c r="W233" i="7"/>
  <c r="J266" i="27" s="1"/>
  <c r="P233" i="7"/>
  <c r="E266" i="27" s="1"/>
  <c r="D266" i="27"/>
  <c r="U233" i="7"/>
  <c r="H266" i="27" s="1"/>
  <c r="R233" i="7"/>
  <c r="AB207" i="7"/>
  <c r="AF207" i="7"/>
  <c r="Q233" i="7" l="1"/>
  <c r="S233" i="7" s="1"/>
  <c r="G266" i="27" s="1"/>
  <c r="AC207" i="7"/>
  <c r="F266" i="27" l="1"/>
  <c r="O234" i="7"/>
  <c r="X233" i="7"/>
  <c r="K266" i="27" s="1"/>
  <c r="AJ207" i="7"/>
  <c r="AA208" i="7"/>
  <c r="AE207" i="7"/>
  <c r="U234" i="7" l="1"/>
  <c r="H267" i="27" s="1"/>
  <c r="R234" i="7"/>
  <c r="D267" i="27"/>
  <c r="V234" i="7"/>
  <c r="I267" i="27" s="1"/>
  <c r="W234" i="7"/>
  <c r="J267" i="27" s="1"/>
  <c r="P234" i="7"/>
  <c r="E267" i="27" s="1"/>
  <c r="AB208" i="7"/>
  <c r="AF208" i="7"/>
  <c r="Q234" i="7" l="1"/>
  <c r="AC208" i="7"/>
  <c r="X234" i="7" l="1"/>
  <c r="K267" i="27" s="1"/>
  <c r="O235" i="7"/>
  <c r="F267" i="27"/>
  <c r="S234" i="7"/>
  <c r="G267" i="27" s="1"/>
  <c r="AJ208" i="7"/>
  <c r="AA209" i="7"/>
  <c r="AE208" i="7"/>
  <c r="D268" i="27" l="1"/>
  <c r="W235" i="7"/>
  <c r="J268" i="27" s="1"/>
  <c r="R235" i="7"/>
  <c r="V235" i="7"/>
  <c r="I268" i="27" s="1"/>
  <c r="P235" i="7"/>
  <c r="E268" i="27" s="1"/>
  <c r="U235" i="7"/>
  <c r="H268" i="27" s="1"/>
  <c r="AB209" i="7"/>
  <c r="AF209" i="7"/>
  <c r="Q235" i="7" l="1"/>
  <c r="S235" i="7" s="1"/>
  <c r="G268" i="27" s="1"/>
  <c r="AC209" i="7"/>
  <c r="F268" i="27" l="1"/>
  <c r="O236" i="7"/>
  <c r="X235" i="7"/>
  <c r="K268" i="27" s="1"/>
  <c r="AJ209" i="7"/>
  <c r="AA210" i="7"/>
  <c r="AE209" i="7"/>
  <c r="V236" i="7" l="1"/>
  <c r="I269" i="27" s="1"/>
  <c r="W236" i="7"/>
  <c r="J269" i="27" s="1"/>
  <c r="D269" i="27"/>
  <c r="U236" i="7"/>
  <c r="H269" i="27" s="1"/>
  <c r="R236" i="7"/>
  <c r="P236" i="7"/>
  <c r="E269" i="27" s="1"/>
  <c r="AB210" i="7"/>
  <c r="AF210" i="7"/>
  <c r="Q236" i="7" l="1"/>
  <c r="F269" i="27" s="1"/>
  <c r="AC210" i="7"/>
  <c r="S236" i="7" l="1"/>
  <c r="G269" i="27" s="1"/>
  <c r="X236" i="7"/>
  <c r="K269" i="27" s="1"/>
  <c r="O237" i="7"/>
  <c r="P237" i="7" s="1"/>
  <c r="E270" i="27" s="1"/>
  <c r="AJ210" i="7"/>
  <c r="AA211" i="7"/>
  <c r="AE210" i="7"/>
  <c r="W237" i="7" l="1"/>
  <c r="J270" i="27" s="1"/>
  <c r="D270" i="27"/>
  <c r="U237" i="7"/>
  <c r="H270" i="27" s="1"/>
  <c r="V237" i="7"/>
  <c r="I270" i="27" s="1"/>
  <c r="R237" i="7"/>
  <c r="Q237" i="7" s="1"/>
  <c r="AB211" i="7"/>
  <c r="AF211" i="7"/>
  <c r="F270" i="27" l="1"/>
  <c r="O238" i="7"/>
  <c r="R238" i="7" s="1"/>
  <c r="X237" i="7"/>
  <c r="K270" i="27" s="1"/>
  <c r="S237" i="7"/>
  <c r="G270" i="27" s="1"/>
  <c r="AC211" i="7"/>
  <c r="AE211" i="7" s="1"/>
  <c r="U238" i="7" l="1"/>
  <c r="H271" i="27" s="1"/>
  <c r="V238" i="7"/>
  <c r="I271" i="27" s="1"/>
  <c r="W238" i="7"/>
  <c r="J271" i="27" s="1"/>
  <c r="P238" i="7"/>
  <c r="E271" i="27" s="1"/>
  <c r="D271" i="27"/>
  <c r="AJ211" i="7"/>
  <c r="AA212" i="7"/>
  <c r="Q238" i="7" l="1"/>
  <c r="X238" i="7" s="1"/>
  <c r="K271" i="27" s="1"/>
  <c r="AF212" i="7"/>
  <c r="AB212" i="7"/>
  <c r="S238" i="7" l="1"/>
  <c r="G271" i="27" s="1"/>
  <c r="O239" i="7"/>
  <c r="P239" i="7" s="1"/>
  <c r="F271" i="27"/>
  <c r="AC212" i="7"/>
  <c r="AE212" i="7" s="1"/>
  <c r="U239" i="7" l="1"/>
  <c r="H272" i="27" s="1"/>
  <c r="D272" i="27"/>
  <c r="V239" i="7"/>
  <c r="I272" i="27" s="1"/>
  <c r="R239" i="7"/>
  <c r="Q239" i="7" s="1"/>
  <c r="S239" i="7" s="1"/>
  <c r="G272" i="27" s="1"/>
  <c r="W239" i="7"/>
  <c r="J272" i="27" s="1"/>
  <c r="E272" i="27"/>
  <c r="AJ212" i="7"/>
  <c r="AA213" i="7"/>
  <c r="O240" i="7" l="1"/>
  <c r="D273" i="27" s="1"/>
  <c r="F272" i="27"/>
  <c r="X239" i="7"/>
  <c r="K272" i="27" s="1"/>
  <c r="AB213" i="7"/>
  <c r="AF213" i="7"/>
  <c r="R240" i="7" l="1"/>
  <c r="P240" i="7"/>
  <c r="E273" i="27" s="1"/>
  <c r="V240" i="7"/>
  <c r="I273" i="27" s="1"/>
  <c r="U240" i="7"/>
  <c r="H273" i="27" s="1"/>
  <c r="W240" i="7"/>
  <c r="J273" i="27" s="1"/>
  <c r="AC213" i="7"/>
  <c r="Q240" i="7" l="1"/>
  <c r="O241" i="7" s="1"/>
  <c r="W241" i="7" s="1"/>
  <c r="J274" i="27" s="1"/>
  <c r="P241" i="7"/>
  <c r="E274" i="27" s="1"/>
  <c r="AJ213" i="7"/>
  <c r="AA214" i="7"/>
  <c r="AE213" i="7"/>
  <c r="V241" i="7" l="1"/>
  <c r="I274" i="27" s="1"/>
  <c r="X240" i="7"/>
  <c r="K273" i="27" s="1"/>
  <c r="U241" i="7"/>
  <c r="H274" i="27" s="1"/>
  <c r="R241" i="7"/>
  <c r="Q241" i="7" s="1"/>
  <c r="O242" i="7" s="1"/>
  <c r="R242" i="7" s="1"/>
  <c r="F273" i="27"/>
  <c r="S240" i="7"/>
  <c r="G273" i="27" s="1"/>
  <c r="D274" i="27"/>
  <c r="AB214" i="7"/>
  <c r="AF214" i="7"/>
  <c r="S241" i="7" l="1"/>
  <c r="G274" i="27" s="1"/>
  <c r="X241" i="7"/>
  <c r="K274" i="27" s="1"/>
  <c r="F274" i="27"/>
  <c r="W242" i="7"/>
  <c r="J275" i="27" s="1"/>
  <c r="V242" i="7"/>
  <c r="I275" i="27" s="1"/>
  <c r="U242" i="7"/>
  <c r="H275" i="27" s="1"/>
  <c r="P242" i="7"/>
  <c r="Q242" i="7" s="1"/>
  <c r="O243" i="7" s="1"/>
  <c r="U243" i="7" s="1"/>
  <c r="H276" i="27" s="1"/>
  <c r="D275" i="27"/>
  <c r="AC214" i="7"/>
  <c r="E275" i="27" l="1"/>
  <c r="W243" i="7"/>
  <c r="J276" i="27" s="1"/>
  <c r="R243" i="7"/>
  <c r="D276" i="27"/>
  <c r="F275" i="27"/>
  <c r="V243" i="7"/>
  <c r="I276" i="27" s="1"/>
  <c r="S242" i="7"/>
  <c r="G275" i="27" s="1"/>
  <c r="P243" i="7"/>
  <c r="Q243" i="7" s="1"/>
  <c r="O244" i="7" s="1"/>
  <c r="X242" i="7"/>
  <c r="K275" i="27" s="1"/>
  <c r="AJ214" i="7"/>
  <c r="AA215" i="7"/>
  <c r="AE214" i="7"/>
  <c r="E276" i="27" l="1"/>
  <c r="X243" i="7"/>
  <c r="K276" i="27" s="1"/>
  <c r="S243" i="7"/>
  <c r="G276" i="27" s="1"/>
  <c r="F276" i="27"/>
  <c r="U244" i="7"/>
  <c r="H277" i="27" s="1"/>
  <c r="V244" i="7"/>
  <c r="I277" i="27" s="1"/>
  <c r="R244" i="7"/>
  <c r="D277" i="27"/>
  <c r="P244" i="7"/>
  <c r="W244" i="7"/>
  <c r="J277" i="27" s="1"/>
  <c r="AF215" i="7"/>
  <c r="AB215" i="7"/>
  <c r="E277" i="27" l="1"/>
  <c r="Q244" i="7"/>
  <c r="AC215" i="7"/>
  <c r="X244" i="7" l="1"/>
  <c r="K277" i="27" s="1"/>
  <c r="F277" i="27"/>
  <c r="O245" i="7"/>
  <c r="S244" i="7"/>
  <c r="G277" i="27" s="1"/>
  <c r="AJ215" i="7"/>
  <c r="AA216" i="7"/>
  <c r="AE215" i="7"/>
  <c r="U245" i="7" l="1"/>
  <c r="H278" i="27" s="1"/>
  <c r="H279" i="27" s="1"/>
  <c r="D278" i="27"/>
  <c r="W245" i="7"/>
  <c r="J278" i="27" s="1"/>
  <c r="J279" i="27" s="1"/>
  <c r="V245" i="7"/>
  <c r="I278" i="27" s="1"/>
  <c r="I279" i="27" s="1"/>
  <c r="P245" i="7"/>
  <c r="R245" i="7"/>
  <c r="AB216" i="7"/>
  <c r="AF216" i="7"/>
  <c r="P246" i="7" l="1"/>
  <c r="E278" i="27"/>
  <c r="E279" i="27" s="1"/>
  <c r="R246" i="7"/>
  <c r="I10" i="7" s="1"/>
  <c r="Q245" i="7"/>
  <c r="S245" i="7" s="1"/>
  <c r="AC216" i="7"/>
  <c r="AE216" i="7" s="1"/>
  <c r="X245" i="7" l="1"/>
  <c r="K278" i="27" s="1"/>
  <c r="K279" i="27" s="1"/>
  <c r="G278" i="27"/>
  <c r="G279" i="27" s="1"/>
  <c r="S246" i="7"/>
  <c r="F278" i="27"/>
  <c r="F279" i="27" s="1"/>
  <c r="Q246" i="7"/>
  <c r="AJ216" i="7"/>
  <c r="AA217" i="7"/>
  <c r="AB217" i="7" l="1"/>
  <c r="AF217" i="7"/>
  <c r="AC217" i="7" l="1"/>
  <c r="AE217" i="7" s="1"/>
  <c r="AJ217" i="7" l="1"/>
  <c r="AA218" i="7"/>
  <c r="AF218" i="7" l="1"/>
  <c r="AB218" i="7"/>
  <c r="AC218" i="7" l="1"/>
  <c r="AJ218" i="7" l="1"/>
  <c r="AA219" i="7"/>
  <c r="AE218" i="7"/>
  <c r="AF219" i="7" l="1"/>
  <c r="AB219" i="7"/>
  <c r="AC219" i="7" l="1"/>
  <c r="AJ219" i="7" l="1"/>
  <c r="AA220" i="7"/>
  <c r="AE219" i="7"/>
  <c r="AF220" i="7" l="1"/>
  <c r="AB220" i="7"/>
  <c r="AC220" i="7" l="1"/>
  <c r="AJ220" i="7" l="1"/>
  <c r="AA221" i="7"/>
  <c r="AE220" i="7"/>
  <c r="AF221" i="7" l="1"/>
  <c r="AB221" i="7"/>
  <c r="AC221" i="7" l="1"/>
  <c r="AE221" i="7" s="1"/>
  <c r="AJ221" i="7" l="1"/>
  <c r="AA222" i="7"/>
  <c r="AF222" i="7" l="1"/>
  <c r="AB222" i="7"/>
  <c r="AC222" i="7" l="1"/>
  <c r="AE222" i="7" s="1"/>
  <c r="AJ222" i="7" l="1"/>
  <c r="AA223" i="7"/>
  <c r="AF223" i="7" l="1"/>
  <c r="AB223" i="7"/>
  <c r="AC223" i="7" l="1"/>
  <c r="AJ223" i="7" l="1"/>
  <c r="AA224" i="7"/>
  <c r="AE223" i="7"/>
  <c r="AB224" i="7" l="1"/>
  <c r="AF224" i="7"/>
  <c r="AC224" i="7" l="1"/>
  <c r="AJ224" i="7" l="1"/>
  <c r="AA225" i="7"/>
  <c r="AE224" i="7"/>
  <c r="AF225" i="7" l="1"/>
  <c r="AB225" i="7"/>
  <c r="AC225" i="7" l="1"/>
  <c r="AJ225" i="7" l="1"/>
  <c r="AA226" i="7"/>
  <c r="AE225" i="7"/>
  <c r="AB226" i="7" l="1"/>
  <c r="AF226" i="7"/>
  <c r="AC226" i="7" l="1"/>
  <c r="AJ226" i="7" l="1"/>
  <c r="AA227" i="7"/>
  <c r="AE226" i="7"/>
  <c r="AB227" i="7" l="1"/>
  <c r="AF227" i="7"/>
  <c r="AC227" i="7" l="1"/>
  <c r="AJ227" i="7" l="1"/>
  <c r="AA228" i="7"/>
  <c r="AE227" i="7"/>
  <c r="AB228" i="7" l="1"/>
  <c r="AF228" i="7"/>
  <c r="AC228" i="7" l="1"/>
  <c r="AE228" i="7" s="1"/>
  <c r="AJ228" i="7" l="1"/>
  <c r="AA229" i="7"/>
  <c r="AB229" i="7" l="1"/>
  <c r="AF229" i="7"/>
  <c r="AC229" i="7" l="1"/>
  <c r="AJ229" i="7" l="1"/>
  <c r="AA230" i="7"/>
  <c r="AE229" i="7"/>
  <c r="AB230" i="7" l="1"/>
  <c r="AF230" i="7"/>
  <c r="AC230" i="7" l="1"/>
  <c r="AE230" i="7" s="1"/>
  <c r="AJ230" i="7" l="1"/>
  <c r="AA231" i="7"/>
  <c r="AF231" i="7" l="1"/>
  <c r="AB231" i="7"/>
  <c r="AC231" i="7" l="1"/>
  <c r="AJ231" i="7" l="1"/>
  <c r="AA232" i="7"/>
  <c r="AE231" i="7"/>
  <c r="AF232" i="7" l="1"/>
  <c r="AB232" i="7"/>
  <c r="AC232" i="7" l="1"/>
  <c r="AE232" i="7" s="1"/>
  <c r="AJ232" i="7" l="1"/>
  <c r="AA233" i="7"/>
  <c r="AF233" i="7" l="1"/>
  <c r="AB233" i="7"/>
  <c r="AC233" i="7" l="1"/>
  <c r="AJ233" i="7" l="1"/>
  <c r="AA234" i="7"/>
  <c r="AE233" i="7"/>
  <c r="AF234" i="7" l="1"/>
  <c r="AB234" i="7"/>
  <c r="AC234" i="7" l="1"/>
  <c r="AE234" i="7" s="1"/>
  <c r="AJ234" i="7" l="1"/>
  <c r="AA235" i="7"/>
  <c r="AB235" i="7" l="1"/>
  <c r="AF235" i="7"/>
  <c r="AC235" i="7" l="1"/>
  <c r="AE235" i="7" s="1"/>
  <c r="AJ235" i="7" l="1"/>
  <c r="AA236" i="7"/>
  <c r="AF236" i="7" l="1"/>
  <c r="AB236" i="7"/>
  <c r="AC236" i="7" l="1"/>
  <c r="AE236" i="7" s="1"/>
  <c r="AJ236" i="7" l="1"/>
  <c r="AA237" i="7"/>
  <c r="AB237" i="7" l="1"/>
  <c r="AF237" i="7"/>
  <c r="AC237" i="7" l="1"/>
  <c r="AE237" i="7" s="1"/>
  <c r="AJ237" i="7" l="1"/>
  <c r="AA238" i="7"/>
  <c r="AB238" i="7" l="1"/>
  <c r="AF238" i="7"/>
  <c r="AC238" i="7" l="1"/>
  <c r="AJ238" i="7" l="1"/>
  <c r="AA239" i="7"/>
  <c r="AE238" i="7"/>
  <c r="AB239" i="7" l="1"/>
  <c r="AF239" i="7"/>
  <c r="AC239" i="7" l="1"/>
  <c r="AE239" i="7" s="1"/>
  <c r="AJ239" i="7" l="1"/>
  <c r="AA240" i="7"/>
  <c r="AF240" i="7" l="1"/>
  <c r="AB240" i="7"/>
  <c r="AC240" i="7" l="1"/>
  <c r="AJ240" i="7" l="1"/>
  <c r="AA241" i="7"/>
  <c r="AE240" i="7"/>
  <c r="AF241" i="7" l="1"/>
  <c r="AB241" i="7"/>
  <c r="AC241" i="7" l="1"/>
  <c r="AJ241" i="7" l="1"/>
  <c r="AA242" i="7"/>
  <c r="AE241" i="7"/>
  <c r="AB242" i="7" l="1"/>
  <c r="AF242" i="7"/>
  <c r="AC242" i="7" l="1"/>
  <c r="AJ242" i="7" l="1"/>
  <c r="AA243" i="7"/>
  <c r="AE242" i="7"/>
  <c r="AF243" i="7" l="1"/>
  <c r="AB243" i="7"/>
  <c r="AC243" i="7" l="1"/>
  <c r="AE243" i="7" s="1"/>
  <c r="AJ243" i="7" l="1"/>
  <c r="AA244" i="7"/>
  <c r="AF244" i="7" l="1"/>
  <c r="AB244" i="7"/>
  <c r="AC244" i="7" l="1"/>
  <c r="AJ244" i="7" l="1"/>
  <c r="AA245" i="7"/>
  <c r="AE244" i="7"/>
  <c r="AB245" i="7" l="1"/>
  <c r="AF245" i="7"/>
  <c r="AC245" i="7" l="1"/>
  <c r="AJ245" i="7" l="1"/>
  <c r="AC246" i="7"/>
  <c r="AE245" i="7"/>
  <c r="F31" i="7" l="1"/>
  <c r="F32" i="7"/>
  <c r="F33" i="7" s="1"/>
  <c r="AJ5" i="7" s="1"/>
  <c r="AJ246" i="7" s="1"/>
  <c r="F40" i="7"/>
  <c r="F43" i="7" s="1"/>
  <c r="AJ247" i="7" l="1"/>
  <c r="AJ249" i="7"/>
  <c r="H23" i="27"/>
  <c r="H30" i="27" s="1"/>
  <c r="H17" i="27" l="1"/>
  <c r="I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Rogelio Felipe Alvarez Albarran (Banco)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Rogelio Felipe Alvarez Albarran (Banco):</t>
        </r>
        <r>
          <rPr>
            <sz val="9"/>
            <color indexed="81"/>
            <rFont val="Tahoma"/>
            <family val="2"/>
          </rPr>
          <t xml:space="preserve">
FORMULA PARA BUSCAR TASA EN FUNCION DE AFORO</t>
        </r>
      </text>
    </comment>
  </commentList>
</comments>
</file>

<file path=xl/sharedStrings.xml><?xml version="1.0" encoding="utf-8"?>
<sst xmlns="http://schemas.openxmlformats.org/spreadsheetml/2006/main" count="258" uniqueCount="201">
  <si>
    <t>Seguro de Vida</t>
  </si>
  <si>
    <t>Tasa</t>
  </si>
  <si>
    <t>Saldo Insoluto</t>
  </si>
  <si>
    <t>Seguro de daños</t>
  </si>
  <si>
    <t>|</t>
  </si>
  <si>
    <t>Tasa de Interés Efectiva</t>
  </si>
  <si>
    <t>CAT</t>
  </si>
  <si>
    <t>Tasa de interés</t>
  </si>
  <si>
    <t>Tabla de Amortización</t>
  </si>
  <si>
    <t>Mes</t>
  </si>
  <si>
    <t>Seguro de vida</t>
  </si>
  <si>
    <t>Aclaraciones</t>
  </si>
  <si>
    <t>Desembolso Inicial</t>
  </si>
  <si>
    <t>Costo del Avalúo</t>
  </si>
  <si>
    <t>Valor Comercial del Inmueble</t>
  </si>
  <si>
    <t>La información obtenida es únicamente para efectos ilustrativos, por lo que no implica asunción de obligación ni compromiso por parte de Banco Ve por Más, S.A.</t>
  </si>
  <si>
    <t>Las condiciones del producto y políticas de crédito contenidas en el simulador están sujetas a cambio sin previo aviso.</t>
  </si>
  <si>
    <t>La autorización del crédito es una facultad discrecional de Banco Ve por Más, S.A. por lo que se reserva el derecho de otorgarla o negarla.</t>
  </si>
  <si>
    <t>Contratar créditos por arriba de tu capacidad de pago puede afectar tu historial crediticio.</t>
  </si>
  <si>
    <t>Costo Anual Total (CAT)</t>
  </si>
  <si>
    <t>Crédito Infonavit</t>
  </si>
  <si>
    <t>Capital + Intereses</t>
  </si>
  <si>
    <t xml:space="preserve">Mensualidad  </t>
  </si>
  <si>
    <t>Intereses</t>
  </si>
  <si>
    <t xml:space="preserve">Amortización </t>
  </si>
  <si>
    <t>Erogación</t>
  </si>
  <si>
    <t>Seguro de Daños sin IVA</t>
  </si>
  <si>
    <t xml:space="preserve">Mensualidad </t>
  </si>
  <si>
    <t>Mensualidad Sin IVA para Cálculo de CAT</t>
  </si>
  <si>
    <t>Seguro de Daños</t>
  </si>
  <si>
    <t>Comisión Mensual</t>
  </si>
  <si>
    <t>Comisión Mensual sin IVA</t>
  </si>
  <si>
    <t>Pagos Anticipados</t>
  </si>
  <si>
    <t xml:space="preserve">Incremento Anual </t>
  </si>
  <si>
    <t>Mensualidad para Cálculo de Tasa Efectiva</t>
  </si>
  <si>
    <t>Producto:</t>
  </si>
  <si>
    <t>Mercado:</t>
  </si>
  <si>
    <t>Tasa:</t>
  </si>
  <si>
    <t>Serie de Tasas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</si>
  <si>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</si>
  <si>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</si>
  <si>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</si>
  <si>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</si>
  <si>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</si>
  <si>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</si>
  <si>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</si>
  <si>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</si>
  <si>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</si>
  <si>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</si>
  <si>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</si>
  <si>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</si>
  <si>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</si>
  <si>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</si>
  <si>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</si>
  <si>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Tasa de intéres anual</t>
  </si>
  <si>
    <t>Tasa de intéres mensual</t>
  </si>
  <si>
    <t>Plazo (meses)</t>
  </si>
  <si>
    <t>Monto de crédito</t>
  </si>
  <si>
    <t>Valor de vivienda</t>
  </si>
  <si>
    <t>Ingreso mensual requerido</t>
  </si>
  <si>
    <t>Aforo</t>
  </si>
  <si>
    <t>Incremento anual en mensualidad</t>
  </si>
  <si>
    <t>Payment to Income (PTI)</t>
  </si>
  <si>
    <t>Tarifa s/ IVA</t>
  </si>
  <si>
    <t>Datos Financieros</t>
  </si>
  <si>
    <t>Factor de pago</t>
  </si>
  <si>
    <t>Factor seguro de vida</t>
  </si>
  <si>
    <t>Prima seguro de vida</t>
  </si>
  <si>
    <t>Prima seguro de daños s/ IVA</t>
  </si>
  <si>
    <t>Factor seguro de daños s/ IVA</t>
  </si>
  <si>
    <t>Comisión mensual c/ IVA</t>
  </si>
  <si>
    <t xml:space="preserve">Importe de gastos notariales </t>
  </si>
  <si>
    <t>% Gastos notariales</t>
  </si>
  <si>
    <t>Investigación Crediticia</t>
  </si>
  <si>
    <t>Comisión por apertura de crédito</t>
  </si>
  <si>
    <t>% Comisión por apertura de crédito</t>
  </si>
  <si>
    <t>Costo Anual Total</t>
  </si>
  <si>
    <t>Tasa efectiva</t>
  </si>
  <si>
    <t>Plazo real</t>
  </si>
  <si>
    <t>Plazo contractual</t>
  </si>
  <si>
    <t>Costos del Avalúo</t>
  </si>
  <si>
    <t>Valor destructible</t>
  </si>
  <si>
    <t xml:space="preserve">Gastos de tit, fin y op   </t>
  </si>
  <si>
    <t>Factor seguro de daños</t>
  </si>
  <si>
    <t>Prima seguro de daños</t>
  </si>
  <si>
    <t>Mensualidad inicial</t>
  </si>
  <si>
    <t>Comisión mensual</t>
  </si>
  <si>
    <t>Mensualidad</t>
  </si>
  <si>
    <t>Pago por mil</t>
  </si>
  <si>
    <t>Hipotecario BX+</t>
  </si>
  <si>
    <t>Resultados</t>
  </si>
  <si>
    <t>Condiciones de Crédito</t>
  </si>
  <si>
    <t>Comisión por apertura</t>
  </si>
  <si>
    <t>Valor del inmueble</t>
  </si>
  <si>
    <t>Gastos y Comisiones</t>
  </si>
  <si>
    <t>Gastos Infonavit</t>
  </si>
  <si>
    <t>Enganche</t>
  </si>
  <si>
    <t>Desembolso inicial</t>
  </si>
  <si>
    <t>Cobertura seguro de daños</t>
  </si>
  <si>
    <t xml:space="preserve">Investigación crediticia </t>
  </si>
  <si>
    <t>Costo del avalúo</t>
  </si>
  <si>
    <t>Captura de Datos</t>
  </si>
  <si>
    <t>Amotización</t>
  </si>
  <si>
    <t>Principales Resultados</t>
  </si>
  <si>
    <t>Investigación Crediticia c/ IVA</t>
  </si>
  <si>
    <t>Costo del Avalúo c/ IVA</t>
  </si>
  <si>
    <t>Gastos de Originación s/ IVA</t>
  </si>
  <si>
    <t>Nombre del cliente:</t>
  </si>
  <si>
    <t>COFINAVIT</t>
  </si>
  <si>
    <t>Monto del SSV</t>
  </si>
  <si>
    <t>Aforo Total con Infonavit</t>
  </si>
  <si>
    <t>PRODUCTO</t>
  </si>
  <si>
    <t>TRADICIONAL</t>
  </si>
  <si>
    <t>SUSTITUCION</t>
  </si>
  <si>
    <t>GASTOS NOTARIALES</t>
  </si>
  <si>
    <t>AFORO COFINAVIT</t>
  </si>
  <si>
    <t>APOYO</t>
  </si>
  <si>
    <t>Plazo en años</t>
  </si>
  <si>
    <t>Plazo en años:</t>
  </si>
  <si>
    <t>LIQUIDEZ</t>
  </si>
  <si>
    <t>Tipo de cliente:</t>
  </si>
  <si>
    <t>SUSTITUCION + LIQUIDEZ</t>
  </si>
  <si>
    <t>Tasa acorde esquema clientes especiales</t>
  </si>
  <si>
    <t>Tasa acorde esquema mercado abierto</t>
  </si>
  <si>
    <t>Mercado Abierto</t>
  </si>
  <si>
    <t>Aforo:</t>
  </si>
  <si>
    <t>FINANCIAMIENTO DE GASTOS NOTARIALES</t>
  </si>
  <si>
    <t>SI</t>
  </si>
  <si>
    <t>NO</t>
  </si>
  <si>
    <t>RESULTADO DE FINANCIAMIENTO</t>
  </si>
  <si>
    <t>TITULO DE FINANCIAMIENTO</t>
  </si>
  <si>
    <t>Comision</t>
  </si>
  <si>
    <t>AFORO MAXIMO CON INFONAVIT</t>
  </si>
  <si>
    <t>MONTO MINIMO DE CREDITO</t>
  </si>
  <si>
    <t>SUSTITUCION MAS LIQUIDEZ</t>
  </si>
  <si>
    <t>Año 16</t>
  </si>
  <si>
    <t>Año 17</t>
  </si>
  <si>
    <t>Año 18</t>
  </si>
  <si>
    <t>Año 19</t>
  </si>
  <si>
    <t>Año 20</t>
  </si>
  <si>
    <t>Financiamiento de gastos notariales</t>
  </si>
  <si>
    <t xml:space="preserve">Gastos notariales promedio </t>
  </si>
  <si>
    <t>La tasa y comisión por apertura más bajas; así como enganche más alto aplican únicamente para clientes con EXCELENTE HISTORIAL CREDITICIO.</t>
  </si>
  <si>
    <t>Comisión por Administración Mensual + IVA</t>
  </si>
  <si>
    <t>SETENTA</t>
  </si>
  <si>
    <t>OCHENTA</t>
  </si>
  <si>
    <t>Saldo insoluto</t>
  </si>
  <si>
    <t>Cobertura seguro de vida</t>
  </si>
  <si>
    <t>Comision por administración mensual sin IVA</t>
  </si>
  <si>
    <t>PTI</t>
  </si>
  <si>
    <t>Monto de Crédito</t>
  </si>
  <si>
    <t>ESTADO DONDE SE ADQUIERE EL INMUEBLE:</t>
  </si>
  <si>
    <t>FACTORES DE SEGUR DE DAÑOS</t>
  </si>
  <si>
    <t>YUCATAN</t>
  </si>
  <si>
    <t>FACTORES DE SEGUR DE VIDA</t>
  </si>
  <si>
    <t>ACREDITADO</t>
  </si>
  <si>
    <t>COACREDITADO</t>
  </si>
  <si>
    <t>OBLIGADO SOLIDARIO</t>
  </si>
  <si>
    <t>TOTAL</t>
  </si>
  <si>
    <t xml:space="preserve">SEGURO DE DAÑOS FACTORES POR ESTADOS </t>
  </si>
  <si>
    <t>ESTADO</t>
  </si>
  <si>
    <t>FACTOR S/IVA</t>
  </si>
  <si>
    <t>FACTOS C/IVA</t>
  </si>
  <si>
    <t>COBERTURA DAÑOS</t>
  </si>
  <si>
    <t>Valor Destructible</t>
  </si>
  <si>
    <t>Maximo / Val. Dest. y Saldo Insoluto</t>
  </si>
  <si>
    <t>COBERTURA VIDA</t>
  </si>
  <si>
    <t>QUINTANA ROO</t>
  </si>
  <si>
    <t>FACTOR PARA 65 AÑOS EN ADELANTE</t>
  </si>
  <si>
    <t>RESTO DE LA REPUBLICA</t>
  </si>
  <si>
    <t>La prima del Seguro de Vida podrá variar de acuerdo a la evaluación individual del solicitante.</t>
  </si>
  <si>
    <t>Simulador de Crédito Hipotecario Mejora de Hipoteca</t>
  </si>
  <si>
    <t xml:space="preserve">La prima del seguro de daños en el presente simulador es calculada considerando un valor destructible del 70% del valor del inmueble. </t>
  </si>
  <si>
    <t>OCHENTA_Y_CINCO</t>
  </si>
  <si>
    <t>ALTO</t>
  </si>
  <si>
    <t>BAJO</t>
  </si>
  <si>
    <t>MEDIO</t>
  </si>
  <si>
    <t>Crédito original mÍnimo $600,000</t>
  </si>
  <si>
    <t>VALOR DESTRUCTIBLE</t>
  </si>
  <si>
    <t>CINCUENTA</t>
  </si>
  <si>
    <t>Seguro Acreditado</t>
  </si>
  <si>
    <t>Seguro Coacreditado</t>
  </si>
  <si>
    <t>Seguro Obligado Solidario (opcional)</t>
  </si>
  <si>
    <t>8.60</t>
  </si>
  <si>
    <t>30% ENGANCHE 9.65%</t>
  </si>
  <si>
    <t>30% ENGANCHE 9.35%</t>
  </si>
  <si>
    <t>30% ENGANCHE 9.85%</t>
  </si>
  <si>
    <t>30% ENGANCHE 10.20%</t>
  </si>
  <si>
    <t>30% ENGANCHE 10.80%</t>
  </si>
  <si>
    <t>20% ENGANCHE 9.85%</t>
  </si>
  <si>
    <t>20% ENGANCHE 9.65%</t>
  </si>
  <si>
    <t>20% ENGANCHE 10.20%</t>
  </si>
  <si>
    <t>20% ENGANCHE 10.80%</t>
  </si>
  <si>
    <t>20% ENGANCHE 10.50%</t>
  </si>
  <si>
    <t>20% ENGANCHE 12.30%</t>
  </si>
  <si>
    <t>15% ENGANCHE 10.30%</t>
  </si>
  <si>
    <t>15% ENGANCHE 10.80%</t>
  </si>
  <si>
    <t>15% ENGANCHE 10.50%</t>
  </si>
  <si>
    <t>15% ENGANCHE 10.90%</t>
  </si>
  <si>
    <t>SELECCIONA EL ENGANCHE QUE APORTA EL CLIENTE</t>
  </si>
  <si>
    <t>Aforo máximo para esta 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</si>
</sst>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"/>
    <numFmt numFmtId="165" formatCode="0.000000000"/>
    <numFmt numFmtId="166" formatCode="0.00000%"/>
    <numFmt numFmtId="167" formatCode="0.000000"/>
    <numFmt numFmtId="168" formatCode="&quot;$&quot;#,##0"/>
    <numFmt numFmtId="169" formatCode="0.0000000000"/>
    <numFmt numFmtId="170" formatCode="#,##0.000000000000"/>
    <numFmt numFmtId="171" formatCode="&quot;$&quot;#,##0.00"/>
    <numFmt numFmtId="172" formatCode="#,##0.00000000000000"/>
    <numFmt numFmtId="173" formatCode="#,##0.00000"/>
    <numFmt numFmtId="174" formatCode="0.0000%"/>
    <numFmt numFmtId="175" formatCode="&quot;$&quot;#,##0.00000;\-&quot;$&quot;#,##0.00000"/>
    <numFmt numFmtId="176" formatCode="0.00000"/>
    <numFmt numFmtId="177" formatCode="0.000"/>
    <numFmt numFmtId="178" formatCode="0.00000000000"/>
    <numFmt numFmtId="179" formatCode="#,##0.000000"/>
    <numFmt numFmtId="180" formatCode="0.000%"/>
    <numFmt numFmtId="181" formatCode="#,##0.000000_ ;[Red]\-#,##0.000000\ "/>
    <numFmt numFmtId="182" formatCode="#,##0.0000000_ ;[Red]\-#,##0.0000000\ "/>
    <numFmt numFmtId="183" formatCode="#,##0.00_ ;[Red]\-#,##0.00\ "/>
    <numFmt numFmtId="184" formatCode="0.0000"/>
    <numFmt numFmtId="185" formatCode="&quot;$&quot;#,##0.00;[Red]&quot;$&quot;#,##0.00"/>
    <numFmt numFmtId="186" formatCode="0.00000000"/>
    <numFmt numFmtId="187" formatCode="0.0%"/>
    <numFmt numFmtId="188" formatCode="&quot;$&quot;#,##0.000000;\-&quot;$&quot;#,##0.000000"/>
    <numFmt numFmtId="189" formatCode="#,##0_ ;[Red]\-#,##0\ "/>
  </numFmts>
  <fonts count="4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haroni"/>
      <charset val="177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Calibri"/>
      <family val="2"/>
      <scheme val="minor"/>
    </font>
    <font>
      <sz val="8"/>
      <color rgb="FFFF000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7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sz val="24"/>
      <color rgb="FF3BB0C9"/>
      <name val="Georgia"/>
      <family val="1"/>
    </font>
    <font>
      <b/>
      <sz val="12"/>
      <color rgb="FF3BB0C9"/>
      <name val="Arial"/>
      <family val="2"/>
    </font>
    <font>
      <sz val="10"/>
      <color theme="9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2"/>
      <name val="Arial"/>
      <family val="2"/>
    </font>
    <font>
      <sz val="16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4D600"/>
        <bgColor indexed="64"/>
      </patternFill>
    </fill>
    <fill>
      <patternFill patternType="solid">
        <fgColor rgb="FF333E48"/>
        <bgColor indexed="64"/>
      </patternFill>
    </fill>
    <fill>
      <patternFill patternType="solid">
        <fgColor rgb="FFA4DAE7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49998474074526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thin">
        <color indexed="64"/>
      </right>
      <top style="medium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34998626667073579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1"/>
      </left>
      <right style="medium">
        <color indexed="64"/>
      </right>
      <top style="thick">
        <color theme="0" tint="-0.34998626667073579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0" fontId="5" fillId="0" borderId="5" xfId="3" applyNumberFormat="1" applyFont="1" applyFill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7" fontId="5" fillId="0" borderId="5" xfId="2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1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1" fillId="2" borderId="0" xfId="0" applyFont="1" applyFill="1"/>
    <xf numFmtId="172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80" fontId="1" fillId="2" borderId="0" xfId="3" applyNumberFormat="1" applyFont="1" applyFill="1" applyBorder="1" applyAlignment="1">
      <alignment horizontal="right"/>
    </xf>
    <xf numFmtId="0" fontId="0" fillId="2" borderId="0" xfId="0" applyFill="1" applyAlignment="1">
      <alignment horizontal="center" wrapText="1"/>
    </xf>
    <xf numFmtId="2" fontId="1" fillId="2" borderId="0" xfId="1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Alignment="1" applyProtection="1">
      <alignment horizontal="right"/>
      <protection locked="0" hidden="1"/>
    </xf>
    <xf numFmtId="2" fontId="1" fillId="2" borderId="0" xfId="3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Alignment="1" applyProtection="1">
      <alignment horizontal="right"/>
      <protection hidden="1"/>
    </xf>
    <xf numFmtId="2" fontId="6" fillId="2" borderId="0" xfId="0" applyNumberFormat="1" applyFont="1" applyFill="1" applyAlignment="1">
      <alignment horizontal="right"/>
    </xf>
    <xf numFmtId="177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8" fontId="10" fillId="2" borderId="0" xfId="0" applyNumberFormat="1" applyFont="1" applyFill="1" applyAlignment="1">
      <alignment horizontal="right"/>
    </xf>
    <xf numFmtId="185" fontId="10" fillId="2" borderId="0" xfId="2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right" wrapText="1"/>
    </xf>
    <xf numFmtId="2" fontId="1" fillId="2" borderId="0" xfId="3" applyNumberFormat="1" applyFont="1" applyFill="1" applyBorder="1" applyAlignment="1" applyProtection="1">
      <alignment horizontal="right" wrapText="1"/>
      <protection hidden="1"/>
    </xf>
    <xf numFmtId="0" fontId="0" fillId="2" borderId="0" xfId="0" applyFill="1" applyAlignment="1">
      <alignment horizontal="right"/>
    </xf>
    <xf numFmtId="7" fontId="5" fillId="2" borderId="0" xfId="2" applyNumberFormat="1" applyFont="1" applyFill="1" applyBorder="1" applyAlignment="1" applyProtection="1">
      <alignment horizontal="right"/>
      <protection hidden="1"/>
    </xf>
    <xf numFmtId="2" fontId="5" fillId="2" borderId="0" xfId="1" applyNumberFormat="1" applyFont="1" applyFill="1" applyBorder="1" applyAlignment="1" applyProtection="1">
      <alignment horizontal="right"/>
      <protection hidden="1"/>
    </xf>
    <xf numFmtId="2" fontId="5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10" fontId="5" fillId="2" borderId="0" xfId="3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74" fontId="5" fillId="2" borderId="0" xfId="3" applyNumberFormat="1" applyFont="1" applyFill="1" applyBorder="1" applyAlignment="1" applyProtection="1">
      <alignment horizontal="right"/>
      <protection hidden="1"/>
    </xf>
    <xf numFmtId="175" fontId="5" fillId="2" borderId="0" xfId="2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6" fontId="1" fillId="2" borderId="0" xfId="0" applyNumberFormat="1" applyFont="1" applyFill="1" applyAlignment="1">
      <alignment horizontal="left"/>
    </xf>
    <xf numFmtId="4" fontId="0" fillId="2" borderId="0" xfId="0" applyNumberFormat="1" applyFill="1"/>
    <xf numFmtId="44" fontId="1" fillId="2" borderId="0" xfId="0" applyNumberFormat="1" applyFont="1" applyFill="1" applyAlignment="1">
      <alignment horizontal="right"/>
    </xf>
    <xf numFmtId="44" fontId="0" fillId="2" borderId="0" xfId="0" applyNumberFormat="1" applyFill="1" applyAlignment="1">
      <alignment horizontal="right"/>
    </xf>
    <xf numFmtId="166" fontId="14" fillId="4" borderId="2" xfId="0" applyNumberFormat="1" applyFont="1" applyFill="1" applyBorder="1" applyAlignment="1">
      <alignment horizontal="center" vertical="center" wrapText="1"/>
    </xf>
    <xf numFmtId="166" fontId="14" fillId="4" borderId="9" xfId="0" applyNumberFormat="1" applyFont="1" applyFill="1" applyBorder="1" applyAlignment="1">
      <alignment horizontal="center" vertical="center" wrapText="1"/>
    </xf>
    <xf numFmtId="166" fontId="9" fillId="6" borderId="9" xfId="0" applyNumberFormat="1" applyFont="1" applyFill="1" applyBorder="1" applyAlignment="1">
      <alignment horizontal="center" vertical="center" wrapText="1"/>
    </xf>
    <xf numFmtId="166" fontId="14" fillId="6" borderId="9" xfId="0" applyNumberFormat="1" applyFont="1" applyFill="1" applyBorder="1" applyAlignment="1">
      <alignment horizontal="center" vertical="center" wrapText="1"/>
    </xf>
    <xf numFmtId="166" fontId="14" fillId="4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/>
    </xf>
    <xf numFmtId="1" fontId="5" fillId="0" borderId="5" xfId="3" applyNumberFormat="1" applyFont="1" applyFill="1" applyBorder="1" applyAlignment="1" applyProtection="1">
      <alignment horizontal="right"/>
      <protection hidden="1"/>
    </xf>
    <xf numFmtId="0" fontId="18" fillId="2" borderId="0" xfId="0" applyFont="1" applyFill="1" applyAlignment="1">
      <alignment horizontal="right"/>
    </xf>
    <xf numFmtId="8" fontId="10" fillId="0" borderId="0" xfId="0" applyNumberFormat="1" applyFont="1" applyAlignment="1">
      <alignment horizontal="right"/>
    </xf>
    <xf numFmtId="8" fontId="10" fillId="0" borderId="0" xfId="2" applyNumberFormat="1" applyFont="1" applyBorder="1" applyAlignment="1">
      <alignment horizontal="right"/>
    </xf>
    <xf numFmtId="8" fontId="10" fillId="0" borderId="4" xfId="0" applyNumberFormat="1" applyFont="1" applyBorder="1" applyAlignment="1">
      <alignment horizontal="right"/>
    </xf>
    <xf numFmtId="185" fontId="10" fillId="0" borderId="5" xfId="2" applyNumberFormat="1" applyFont="1" applyBorder="1" applyAlignment="1">
      <alignment horizontal="right"/>
    </xf>
    <xf numFmtId="8" fontId="10" fillId="0" borderId="7" xfId="0" applyNumberFormat="1" applyFont="1" applyBorder="1" applyAlignment="1">
      <alignment horizontal="right"/>
    </xf>
    <xf numFmtId="8" fontId="10" fillId="0" borderId="11" xfId="0" applyNumberFormat="1" applyFont="1" applyBorder="1" applyAlignment="1">
      <alignment horizontal="right"/>
    </xf>
    <xf numFmtId="185" fontId="10" fillId="0" borderId="8" xfId="2" applyNumberFormat="1" applyFont="1" applyBorder="1" applyAlignment="1">
      <alignment horizontal="right"/>
    </xf>
    <xf numFmtId="8" fontId="5" fillId="0" borderId="5" xfId="0" applyNumberFormat="1" applyFont="1" applyBorder="1" applyAlignment="1">
      <alignment horizontal="right"/>
    </xf>
    <xf numFmtId="7" fontId="5" fillId="0" borderId="8" xfId="2" applyNumberFormat="1" applyFont="1" applyFill="1" applyBorder="1" applyAlignment="1" applyProtection="1">
      <alignment horizontal="right"/>
      <protection hidden="1"/>
    </xf>
    <xf numFmtId="0" fontId="21" fillId="2" borderId="5" xfId="0" applyFont="1" applyFill="1" applyBorder="1" applyAlignment="1">
      <alignment vertical="center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 wrapText="1"/>
    </xf>
    <xf numFmtId="0" fontId="13" fillId="0" borderId="7" xfId="0" applyFont="1" applyBorder="1" applyAlignment="1">
      <alignment horizontal="right"/>
    </xf>
    <xf numFmtId="2" fontId="13" fillId="0" borderId="4" xfId="0" applyNumberFormat="1" applyFont="1" applyBorder="1" applyAlignment="1">
      <alignment horizontal="left"/>
    </xf>
    <xf numFmtId="2" fontId="13" fillId="0" borderId="4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2" fontId="13" fillId="0" borderId="4" xfId="1" applyNumberFormat="1" applyFont="1" applyFill="1" applyBorder="1" applyAlignment="1" applyProtection="1">
      <alignment horizontal="left"/>
      <protection hidden="1"/>
    </xf>
    <xf numFmtId="2" fontId="13" fillId="0" borderId="7" xfId="3" applyNumberFormat="1" applyFont="1" applyFill="1" applyBorder="1" applyAlignment="1" applyProtection="1">
      <alignment horizontal="left" wrapText="1"/>
      <protection hidden="1"/>
    </xf>
    <xf numFmtId="0" fontId="13" fillId="0" borderId="4" xfId="0" applyFont="1" applyBorder="1" applyAlignment="1">
      <alignment horizontal="left" vertical="center"/>
    </xf>
    <xf numFmtId="167" fontId="13" fillId="0" borderId="5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167" fontId="13" fillId="0" borderId="8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169" fontId="13" fillId="0" borderId="5" xfId="0" applyNumberFormat="1" applyFont="1" applyBorder="1" applyAlignment="1">
      <alignment horizontal="right"/>
    </xf>
    <xf numFmtId="167" fontId="13" fillId="0" borderId="5" xfId="0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7" fontId="13" fillId="0" borderId="5" xfId="0" applyNumberFormat="1" applyFont="1" applyBorder="1"/>
    <xf numFmtId="5" fontId="13" fillId="0" borderId="5" xfId="2" applyNumberFormat="1" applyFont="1" applyFill="1" applyBorder="1" applyAlignment="1" applyProtection="1">
      <alignment horizontal="right"/>
      <protection hidden="1"/>
    </xf>
    <xf numFmtId="178" fontId="13" fillId="0" borderId="5" xfId="0" applyNumberFormat="1" applyFont="1" applyBorder="1" applyAlignment="1">
      <alignment horizontal="right"/>
    </xf>
    <xf numFmtId="8" fontId="13" fillId="0" borderId="5" xfId="2" applyNumberFormat="1" applyFont="1" applyFill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76" fontId="13" fillId="0" borderId="5" xfId="0" applyNumberFormat="1" applyFont="1" applyBorder="1" applyAlignment="1">
      <alignment horizontal="right"/>
    </xf>
    <xf numFmtId="177" fontId="13" fillId="0" borderId="5" xfId="0" applyNumberFormat="1" applyFont="1" applyBorder="1" applyAlignment="1">
      <alignment horizontal="right"/>
    </xf>
    <xf numFmtId="7" fontId="13" fillId="0" borderId="5" xfId="0" applyNumberFormat="1" applyFont="1" applyBorder="1" applyAlignment="1">
      <alignment horizontal="right"/>
    </xf>
    <xf numFmtId="3" fontId="17" fillId="0" borderId="20" xfId="0" applyNumberFormat="1" applyFont="1" applyBorder="1" applyAlignment="1">
      <alignment horizontal="center"/>
    </xf>
    <xf numFmtId="173" fontId="17" fillId="0" borderId="12" xfId="0" applyNumberFormat="1" applyFont="1" applyBorder="1" applyAlignment="1">
      <alignment horizontal="right"/>
    </xf>
    <xf numFmtId="44" fontId="19" fillId="0" borderId="12" xfId="2" applyFont="1" applyFill="1" applyBorder="1" applyAlignment="1">
      <alignment horizontal="right"/>
    </xf>
    <xf numFmtId="171" fontId="17" fillId="0" borderId="12" xfId="0" applyNumberFormat="1" applyFont="1" applyBorder="1" applyAlignment="1">
      <alignment horizontal="right"/>
    </xf>
    <xf numFmtId="171" fontId="17" fillId="0" borderId="21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center"/>
    </xf>
    <xf numFmtId="173" fontId="17" fillId="0" borderId="0" xfId="0" applyNumberFormat="1" applyFont="1" applyAlignment="1">
      <alignment horizontal="right"/>
    </xf>
    <xf numFmtId="44" fontId="17" fillId="0" borderId="0" xfId="2" applyFont="1" applyFill="1" applyBorder="1" applyAlignment="1">
      <alignment horizontal="right"/>
    </xf>
    <xf numFmtId="171" fontId="17" fillId="0" borderId="0" xfId="0" applyNumberFormat="1" applyFont="1" applyAlignment="1">
      <alignment horizontal="right"/>
    </xf>
    <xf numFmtId="171" fontId="17" fillId="0" borderId="5" xfId="0" applyNumberFormat="1" applyFont="1" applyBorder="1" applyAlignment="1">
      <alignment horizontal="right"/>
    </xf>
    <xf numFmtId="3" fontId="17" fillId="5" borderId="18" xfId="0" applyNumberFormat="1" applyFont="1" applyFill="1" applyBorder="1" applyAlignment="1">
      <alignment horizontal="center"/>
    </xf>
    <xf numFmtId="173" fontId="17" fillId="5" borderId="10" xfId="0" applyNumberFormat="1" applyFont="1" applyFill="1" applyBorder="1" applyAlignment="1">
      <alignment horizontal="right"/>
    </xf>
    <xf numFmtId="44" fontId="17" fillId="5" borderId="10" xfId="2" applyFont="1" applyFill="1" applyBorder="1" applyAlignment="1">
      <alignment horizontal="right"/>
    </xf>
    <xf numFmtId="171" fontId="17" fillId="5" borderId="10" xfId="0" applyNumberFormat="1" applyFont="1" applyFill="1" applyBorder="1" applyAlignment="1">
      <alignment horizontal="right"/>
    </xf>
    <xf numFmtId="171" fontId="17" fillId="5" borderId="19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right"/>
    </xf>
    <xf numFmtId="171" fontId="17" fillId="2" borderId="0" xfId="0" applyNumberFormat="1" applyFont="1" applyFill="1" applyAlignment="1">
      <alignment horizontal="right"/>
    </xf>
    <xf numFmtId="173" fontId="17" fillId="2" borderId="0" xfId="0" applyNumberFormat="1" applyFont="1" applyFill="1" applyAlignment="1">
      <alignment horizontal="right"/>
    </xf>
    <xf numFmtId="0" fontId="17" fillId="2" borderId="4" xfId="0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10" fontId="20" fillId="2" borderId="0" xfId="3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horizontal="right" wrapText="1"/>
    </xf>
    <xf numFmtId="0" fontId="23" fillId="6" borderId="0" xfId="0" applyFont="1" applyFill="1" applyAlignment="1">
      <alignment horizontal="center" vertical="center" wrapText="1"/>
    </xf>
    <xf numFmtId="44" fontId="17" fillId="2" borderId="0" xfId="2" applyFont="1" applyFill="1" applyBorder="1" applyAlignment="1">
      <alignment horizontal="right"/>
    </xf>
    <xf numFmtId="7" fontId="13" fillId="0" borderId="5" xfId="2" applyNumberFormat="1" applyFont="1" applyFill="1" applyBorder="1" applyAlignment="1" applyProtection="1">
      <alignment horizontal="right"/>
      <protection hidden="1"/>
    </xf>
    <xf numFmtId="7" fontId="13" fillId="2" borderId="0" xfId="0" applyNumberFormat="1" applyFont="1" applyFill="1" applyAlignment="1">
      <alignment horizontal="right"/>
    </xf>
    <xf numFmtId="7" fontId="22" fillId="2" borderId="0" xfId="0" applyNumberFormat="1" applyFont="1" applyFill="1" applyAlignment="1">
      <alignment horizontal="right"/>
    </xf>
    <xf numFmtId="184" fontId="13" fillId="0" borderId="5" xfId="0" applyNumberFormat="1" applyFont="1" applyBorder="1" applyAlignment="1">
      <alignment horizontal="right"/>
    </xf>
    <xf numFmtId="184" fontId="13" fillId="0" borderId="8" xfId="0" applyNumberFormat="1" applyFont="1" applyBorder="1" applyAlignment="1">
      <alignment horizontal="right"/>
    </xf>
    <xf numFmtId="186" fontId="13" fillId="0" borderId="5" xfId="3" applyNumberFormat="1" applyFont="1" applyFill="1" applyBorder="1" applyAlignment="1" applyProtection="1">
      <alignment horizontal="right"/>
      <protection hidden="1"/>
    </xf>
    <xf numFmtId="167" fontId="13" fillId="0" borderId="7" xfId="0" applyNumberFormat="1" applyFont="1" applyBorder="1" applyAlignment="1">
      <alignment horizontal="right"/>
    </xf>
    <xf numFmtId="167" fontId="13" fillId="0" borderId="4" xfId="0" applyNumberFormat="1" applyFont="1" applyBorder="1" applyAlignment="1">
      <alignment horizontal="right"/>
    </xf>
    <xf numFmtId="167" fontId="13" fillId="0" borderId="0" xfId="0" applyNumberFormat="1" applyFont="1" applyAlignment="1">
      <alignment horizontal="right"/>
    </xf>
    <xf numFmtId="167" fontId="13" fillId="0" borderId="11" xfId="0" applyNumberFormat="1" applyFont="1" applyBorder="1" applyAlignment="1">
      <alignment horizontal="right"/>
    </xf>
    <xf numFmtId="0" fontId="17" fillId="2" borderId="22" xfId="0" applyFont="1" applyFill="1" applyBorder="1" applyAlignment="1">
      <alignment horizontal="right"/>
    </xf>
    <xf numFmtId="0" fontId="17" fillId="2" borderId="17" xfId="0" applyFont="1" applyFill="1" applyBorder="1" applyAlignment="1">
      <alignment horizontal="right"/>
    </xf>
    <xf numFmtId="44" fontId="17" fillId="2" borderId="17" xfId="2" applyFont="1" applyFill="1" applyBorder="1" applyAlignment="1">
      <alignment horizontal="right"/>
    </xf>
    <xf numFmtId="4" fontId="17" fillId="2" borderId="17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8" fontId="12" fillId="2" borderId="0" xfId="0" applyNumberFormat="1" applyFont="1" applyFill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2" fontId="12" fillId="2" borderId="0" xfId="0" applyNumberFormat="1" applyFont="1" applyFill="1" applyAlignment="1">
      <alignment horizontal="right"/>
    </xf>
    <xf numFmtId="10" fontId="24" fillId="2" borderId="0" xfId="3" applyNumberFormat="1" applyFont="1" applyFill="1" applyBorder="1" applyAlignment="1">
      <alignment horizontal="right"/>
    </xf>
    <xf numFmtId="170" fontId="12" fillId="2" borderId="4" xfId="0" applyNumberFormat="1" applyFont="1" applyFill="1" applyBorder="1" applyAlignment="1">
      <alignment horizontal="left"/>
    </xf>
    <xf numFmtId="170" fontId="12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71" fontId="1" fillId="2" borderId="0" xfId="0" applyNumberFormat="1" applyFont="1" applyFill="1" applyAlignment="1">
      <alignment horizontal="right"/>
    </xf>
    <xf numFmtId="166" fontId="14" fillId="6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/>
    </xf>
    <xf numFmtId="171" fontId="1" fillId="2" borderId="5" xfId="0" applyNumberFormat="1" applyFont="1" applyFill="1" applyBorder="1" applyAlignment="1">
      <alignment horizontal="right"/>
    </xf>
    <xf numFmtId="7" fontId="19" fillId="0" borderId="20" xfId="2" applyNumberFormat="1" applyFont="1" applyFill="1" applyBorder="1" applyAlignment="1">
      <alignment horizontal="right"/>
    </xf>
    <xf numFmtId="7" fontId="17" fillId="0" borderId="4" xfId="2" applyNumberFormat="1" applyFont="1" applyFill="1" applyBorder="1" applyAlignment="1">
      <alignment horizontal="right"/>
    </xf>
    <xf numFmtId="44" fontId="17" fillId="0" borderId="4" xfId="2" applyFont="1" applyFill="1" applyBorder="1" applyAlignment="1">
      <alignment horizontal="right"/>
    </xf>
    <xf numFmtId="44" fontId="17" fillId="5" borderId="18" xfId="2" applyFont="1" applyFill="1" applyBorder="1" applyAlignment="1">
      <alignment horizontal="right"/>
    </xf>
    <xf numFmtId="44" fontId="17" fillId="2" borderId="4" xfId="2" applyFont="1" applyFill="1" applyBorder="1" applyAlignment="1">
      <alignment horizontal="right"/>
    </xf>
    <xf numFmtId="173" fontId="17" fillId="2" borderId="5" xfId="0" applyNumberFormat="1" applyFont="1" applyFill="1" applyBorder="1" applyAlignment="1">
      <alignment horizontal="right"/>
    </xf>
    <xf numFmtId="0" fontId="23" fillId="6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/>
    </xf>
    <xf numFmtId="187" fontId="5" fillId="0" borderId="5" xfId="3" applyNumberFormat="1" applyFont="1" applyFill="1" applyBorder="1" applyAlignment="1">
      <alignment horizontal="right"/>
    </xf>
    <xf numFmtId="4" fontId="25" fillId="2" borderId="17" xfId="0" applyNumberFormat="1" applyFont="1" applyFill="1" applyBorder="1" applyAlignment="1">
      <alignment horizontal="right"/>
    </xf>
    <xf numFmtId="0" fontId="22" fillId="2" borderId="17" xfId="0" applyFont="1" applyFill="1" applyBorder="1" applyAlignment="1">
      <alignment horizontal="right"/>
    </xf>
    <xf numFmtId="171" fontId="25" fillId="2" borderId="17" xfId="0" applyNumberFormat="1" applyFont="1" applyFill="1" applyBorder="1" applyAlignment="1">
      <alignment horizontal="right"/>
    </xf>
    <xf numFmtId="173" fontId="25" fillId="2" borderId="17" xfId="0" applyNumberFormat="1" applyFont="1" applyFill="1" applyBorder="1" applyAlignment="1">
      <alignment horizontal="right"/>
    </xf>
    <xf numFmtId="0" fontId="25" fillId="2" borderId="23" xfId="0" applyFont="1" applyFill="1" applyBorder="1" applyAlignment="1">
      <alignment horizontal="right"/>
    </xf>
    <xf numFmtId="186" fontId="13" fillId="0" borderId="8" xfId="2" applyNumberFormat="1" applyFont="1" applyFill="1" applyBorder="1" applyAlignment="1">
      <alignment horizontal="right"/>
    </xf>
    <xf numFmtId="0" fontId="13" fillId="2" borderId="27" xfId="0" applyFont="1" applyFill="1" applyBorder="1" applyAlignment="1">
      <alignment horizontal="right"/>
    </xf>
    <xf numFmtId="171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10" fontId="21" fillId="2" borderId="5" xfId="3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right"/>
    </xf>
    <xf numFmtId="10" fontId="13" fillId="2" borderId="5" xfId="3" applyNumberFormat="1" applyFont="1" applyFill="1" applyBorder="1" applyAlignment="1">
      <alignment horizontal="left" vertical="center" wrapText="1"/>
    </xf>
    <xf numFmtId="167" fontId="29" fillId="0" borderId="4" xfId="0" applyNumberFormat="1" applyFont="1" applyBorder="1" applyAlignment="1">
      <alignment horizontal="right"/>
    </xf>
    <xf numFmtId="185" fontId="10" fillId="0" borderId="0" xfId="2" applyNumberFormat="1" applyFont="1" applyBorder="1" applyAlignment="1">
      <alignment horizontal="right"/>
    </xf>
    <xf numFmtId="8" fontId="10" fillId="2" borderId="0" xfId="0" applyNumberFormat="1" applyFont="1" applyFill="1" applyAlignment="1">
      <alignment horizontal="center"/>
    </xf>
    <xf numFmtId="0" fontId="10" fillId="8" borderId="0" xfId="0" applyFont="1" applyFill="1" applyAlignment="1">
      <alignment horizontal="center" vertical="center" wrapText="1"/>
    </xf>
    <xf numFmtId="184" fontId="13" fillId="0" borderId="0" xfId="0" applyNumberFormat="1" applyFont="1" applyAlignment="1">
      <alignment horizontal="right"/>
    </xf>
    <xf numFmtId="184" fontId="13" fillId="0" borderId="11" xfId="0" applyNumberFormat="1" applyFont="1" applyBorder="1" applyAlignment="1">
      <alignment horizontal="right"/>
    </xf>
    <xf numFmtId="0" fontId="30" fillId="2" borderId="0" xfId="0" applyFont="1" applyFill="1" applyAlignment="1">
      <alignment horizontal="right"/>
    </xf>
    <xf numFmtId="171" fontId="17" fillId="2" borderId="10" xfId="0" applyNumberFormat="1" applyFont="1" applyFill="1" applyBorder="1" applyAlignment="1">
      <alignment horizontal="right"/>
    </xf>
    <xf numFmtId="171" fontId="17" fillId="2" borderId="19" xfId="0" applyNumberFormat="1" applyFont="1" applyFill="1" applyBorder="1" applyAlignment="1">
      <alignment horizontal="right"/>
    </xf>
    <xf numFmtId="171" fontId="17" fillId="2" borderId="21" xfId="0" applyNumberFormat="1" applyFont="1" applyFill="1" applyBorder="1" applyAlignment="1">
      <alignment horizontal="right"/>
    </xf>
    <xf numFmtId="44" fontId="17" fillId="2" borderId="18" xfId="2" applyFont="1" applyFill="1" applyBorder="1" applyAlignment="1">
      <alignment horizontal="right"/>
    </xf>
    <xf numFmtId="171" fontId="26" fillId="2" borderId="10" xfId="0" applyNumberFormat="1" applyFont="1" applyFill="1" applyBorder="1" applyAlignment="1">
      <alignment horizontal="right"/>
    </xf>
    <xf numFmtId="173" fontId="19" fillId="2" borderId="23" xfId="0" applyNumberFormat="1" applyFont="1" applyFill="1" applyBorder="1" applyAlignment="1">
      <alignment horizontal="right"/>
    </xf>
    <xf numFmtId="187" fontId="20" fillId="2" borderId="24" xfId="3" applyNumberFormat="1" applyFont="1" applyFill="1" applyBorder="1" applyAlignment="1">
      <alignment horizontal="center" vertical="center"/>
    </xf>
    <xf numFmtId="8" fontId="13" fillId="2" borderId="5" xfId="2" applyNumberFormat="1" applyFont="1" applyFill="1" applyBorder="1" applyAlignment="1">
      <alignment horizontal="right"/>
    </xf>
    <xf numFmtId="171" fontId="3" fillId="0" borderId="0" xfId="0" applyNumberFormat="1" applyFont="1" applyAlignment="1">
      <alignment horizontal="right"/>
    </xf>
    <xf numFmtId="0" fontId="31" fillId="2" borderId="0" xfId="0" applyFont="1" applyFill="1"/>
    <xf numFmtId="8" fontId="31" fillId="2" borderId="0" xfId="0" applyNumberFormat="1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 applyProtection="1">
      <alignment vertical="center"/>
      <protection locked="0"/>
    </xf>
    <xf numFmtId="0" fontId="35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10" fontId="35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 applyAlignment="1">
      <alignment horizontal="right" vertical="center" wrapText="1"/>
    </xf>
    <xf numFmtId="181" fontId="2" fillId="2" borderId="0" xfId="0" applyNumberFormat="1" applyFont="1" applyFill="1" applyAlignment="1">
      <alignment horizontal="center"/>
    </xf>
    <xf numFmtId="10" fontId="35" fillId="2" borderId="0" xfId="3" applyNumberFormat="1" applyFont="1" applyFill="1" applyBorder="1" applyAlignment="1">
      <alignment horizontal="right" vertical="center"/>
    </xf>
    <xf numFmtId="8" fontId="2" fillId="2" borderId="0" xfId="0" applyNumberFormat="1" applyFont="1" applyFill="1"/>
    <xf numFmtId="182" fontId="31" fillId="2" borderId="0" xfId="0" applyNumberFormat="1" applyFont="1" applyFill="1"/>
    <xf numFmtId="8" fontId="2" fillId="2" borderId="0" xfId="0" applyNumberFormat="1" applyFont="1" applyFill="1" applyAlignment="1">
      <alignment horizontal="center"/>
    </xf>
    <xf numFmtId="8" fontId="35" fillId="2" borderId="0" xfId="0" applyNumberFormat="1" applyFont="1" applyFill="1" applyAlignment="1">
      <alignment horizontal="center"/>
    </xf>
    <xf numFmtId="8" fontId="35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right" vertical="center"/>
    </xf>
    <xf numFmtId="183" fontId="35" fillId="2" borderId="0" xfId="0" applyNumberFormat="1" applyFont="1" applyFill="1" applyAlignment="1">
      <alignment horizontal="center"/>
    </xf>
    <xf numFmtId="0" fontId="36" fillId="2" borderId="0" xfId="0" applyFont="1" applyFill="1"/>
    <xf numFmtId="0" fontId="35" fillId="2" borderId="0" xfId="0" applyFont="1" applyFill="1" applyAlignment="1">
      <alignment horizont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8" fontId="31" fillId="2" borderId="0" xfId="0" applyNumberFormat="1" applyFont="1" applyFill="1" applyAlignment="1">
      <alignment horizontal="right" vertical="center"/>
    </xf>
    <xf numFmtId="5" fontId="31" fillId="2" borderId="0" xfId="0" applyNumberFormat="1" applyFont="1" applyFill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0" fontId="31" fillId="2" borderId="16" xfId="0" applyFont="1" applyFill="1" applyBorder="1"/>
    <xf numFmtId="0" fontId="31" fillId="2" borderId="15" xfId="0" applyFont="1" applyFill="1" applyBorder="1"/>
    <xf numFmtId="8" fontId="31" fillId="2" borderId="1" xfId="0" applyNumberFormat="1" applyFont="1" applyFill="1" applyBorder="1"/>
    <xf numFmtId="0" fontId="35" fillId="2" borderId="0" xfId="0" applyFont="1" applyFill="1" applyAlignment="1">
      <alignment vertical="center"/>
    </xf>
    <xf numFmtId="10" fontId="35" fillId="2" borderId="0" xfId="0" applyNumberFormat="1" applyFont="1" applyFill="1" applyAlignment="1">
      <alignment horizontal="right" vertical="center"/>
    </xf>
    <xf numFmtId="0" fontId="31" fillId="9" borderId="0" xfId="0" applyFont="1" applyFill="1"/>
    <xf numFmtId="0" fontId="35" fillId="0" borderId="0" xfId="0" applyFont="1" applyAlignment="1">
      <alignment horizontal="center"/>
    </xf>
    <xf numFmtId="0" fontId="31" fillId="2" borderId="0" xfId="0" applyFont="1" applyFill="1" applyAlignment="1">
      <alignment horizontal="left" vertical="center" wrapText="1" shrinkToFit="1"/>
    </xf>
    <xf numFmtId="0" fontId="31" fillId="0" borderId="0" xfId="0" applyFont="1"/>
    <xf numFmtId="0" fontId="35" fillId="2" borderId="15" xfId="0" applyFont="1" applyFill="1" applyBorder="1" applyAlignment="1">
      <alignment vertical="center"/>
    </xf>
    <xf numFmtId="0" fontId="35" fillId="2" borderId="0" xfId="0" applyFont="1" applyFill="1" applyAlignment="1">
      <alignment vertical="center" wrapText="1"/>
    </xf>
    <xf numFmtId="0" fontId="31" fillId="0" borderId="26" xfId="0" applyFont="1" applyBorder="1" applyAlignment="1">
      <alignment vertical="center"/>
    </xf>
    <xf numFmtId="0" fontId="38" fillId="2" borderId="0" xfId="0" applyFont="1" applyFill="1" applyAlignment="1">
      <alignment horizontal="left" vertical="center"/>
    </xf>
    <xf numFmtId="8" fontId="35" fillId="0" borderId="0" xfId="0" applyNumberFormat="1" applyFont="1"/>
    <xf numFmtId="7" fontId="35" fillId="2" borderId="0" xfId="0" applyNumberFormat="1" applyFont="1" applyFill="1" applyAlignment="1">
      <alignment horizontal="right" vertical="center"/>
    </xf>
    <xf numFmtId="8" fontId="31" fillId="2" borderId="0" xfId="0" applyNumberFormat="1" applyFont="1" applyFill="1" applyAlignment="1">
      <alignment vertical="center"/>
    </xf>
    <xf numFmtId="10" fontId="31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vertical="center" wrapText="1"/>
    </xf>
    <xf numFmtId="10" fontId="35" fillId="2" borderId="0" xfId="3" applyNumberFormat="1" applyFont="1" applyFill="1" applyBorder="1" applyAlignment="1" applyProtection="1">
      <alignment horizontal="right" vertical="center"/>
    </xf>
    <xf numFmtId="0" fontId="38" fillId="2" borderId="0" xfId="0" applyFont="1" applyFill="1" applyAlignment="1">
      <alignment horizontal="left" vertical="center" wrapText="1"/>
    </xf>
    <xf numFmtId="8" fontId="31" fillId="0" borderId="1" xfId="0" applyNumberFormat="1" applyFont="1" applyBorder="1" applyAlignment="1">
      <alignment horizontal="center"/>
    </xf>
    <xf numFmtId="8" fontId="31" fillId="2" borderId="0" xfId="0" applyNumberFormat="1" applyFont="1" applyFill="1" applyAlignment="1">
      <alignment horizontal="center"/>
    </xf>
    <xf numFmtId="171" fontId="31" fillId="2" borderId="0" xfId="0" applyNumberFormat="1" applyFont="1" applyFill="1"/>
    <xf numFmtId="0" fontId="31" fillId="0" borderId="1" xfId="0" applyFont="1" applyBorder="1" applyAlignment="1">
      <alignment horizontal="center"/>
    </xf>
    <xf numFmtId="171" fontId="31" fillId="0" borderId="1" xfId="0" applyNumberFormat="1" applyFont="1" applyBorder="1" applyAlignment="1">
      <alignment horizontal="center"/>
    </xf>
    <xf numFmtId="8" fontId="31" fillId="0" borderId="16" xfId="0" applyNumberFormat="1" applyFont="1" applyBorder="1" applyAlignment="1">
      <alignment horizontal="center"/>
    </xf>
    <xf numFmtId="8" fontId="31" fillId="0" borderId="0" xfId="0" applyNumberFormat="1" applyFont="1" applyAlignment="1" applyProtection="1">
      <alignment horizontal="center"/>
      <protection locked="0"/>
    </xf>
    <xf numFmtId="44" fontId="31" fillId="0" borderId="1" xfId="0" applyNumberFormat="1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44" fontId="31" fillId="0" borderId="13" xfId="0" applyNumberFormat="1" applyFont="1" applyBorder="1" applyAlignment="1">
      <alignment horizontal="center"/>
    </xf>
    <xf numFmtId="171" fontId="31" fillId="0" borderId="13" xfId="0" applyNumberFormat="1" applyFont="1" applyBorder="1" applyAlignment="1">
      <alignment horizontal="center"/>
    </xf>
    <xf numFmtId="8" fontId="31" fillId="0" borderId="13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44" fontId="31" fillId="0" borderId="14" xfId="0" applyNumberFormat="1" applyFont="1" applyBorder="1" applyAlignment="1">
      <alignment horizontal="center"/>
    </xf>
    <xf numFmtId="171" fontId="31" fillId="0" borderId="14" xfId="0" applyNumberFormat="1" applyFont="1" applyBorder="1" applyAlignment="1">
      <alignment horizontal="center"/>
    </xf>
    <xf numFmtId="8" fontId="31" fillId="0" borderId="14" xfId="0" applyNumberFormat="1" applyFont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44" fontId="31" fillId="2" borderId="0" xfId="0" applyNumberFormat="1" applyFont="1" applyFill="1" applyAlignment="1">
      <alignment horizontal="center"/>
    </xf>
    <xf numFmtId="171" fontId="31" fillId="2" borderId="25" xfId="0" applyNumberFormat="1" applyFont="1" applyFill="1" applyBorder="1" applyAlignment="1">
      <alignment horizontal="center"/>
    </xf>
    <xf numFmtId="8" fontId="31" fillId="2" borderId="25" xfId="0" applyNumberFormat="1" applyFont="1" applyFill="1" applyBorder="1" applyAlignment="1">
      <alignment horizontal="center"/>
    </xf>
    <xf numFmtId="8" fontId="35" fillId="2" borderId="25" xfId="0" applyNumberFormat="1" applyFont="1" applyFill="1" applyBorder="1" applyAlignment="1">
      <alignment horizontal="center"/>
    </xf>
    <xf numFmtId="8" fontId="31" fillId="2" borderId="0" xfId="0" applyNumberFormat="1" applyFont="1" applyFill="1" applyAlignment="1" applyProtection="1">
      <alignment horizontal="center"/>
      <protection locked="0"/>
    </xf>
    <xf numFmtId="0" fontId="35" fillId="3" borderId="0" xfId="0" applyFont="1" applyFill="1" applyAlignment="1">
      <alignment horizontal="center"/>
    </xf>
    <xf numFmtId="0" fontId="31" fillId="0" borderId="0" xfId="0" applyFont="1" applyAlignment="1">
      <alignment wrapText="1"/>
    </xf>
    <xf numFmtId="0" fontId="32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7" fontId="32" fillId="2" borderId="0" xfId="0" applyNumberFormat="1" applyFont="1" applyFill="1" applyAlignment="1">
      <alignment horizontal="right" vertical="center"/>
    </xf>
    <xf numFmtId="0" fontId="32" fillId="2" borderId="0" xfId="0" applyFont="1" applyFill="1" applyAlignment="1">
      <alignment horizontal="left"/>
    </xf>
    <xf numFmtId="0" fontId="35" fillId="2" borderId="12" xfId="0" applyFont="1" applyFill="1" applyBorder="1" applyAlignment="1">
      <alignment horizontal="left"/>
    </xf>
    <xf numFmtId="10" fontId="37" fillId="2" borderId="0" xfId="3" applyNumberFormat="1" applyFont="1" applyFill="1" applyBorder="1"/>
    <xf numFmtId="7" fontId="35" fillId="2" borderId="34" xfId="0" applyNumberFormat="1" applyFont="1" applyFill="1" applyBorder="1" applyAlignment="1">
      <alignment horizontal="right" vertical="center"/>
    </xf>
    <xf numFmtId="0" fontId="31" fillId="2" borderId="7" xfId="0" applyFont="1" applyFill="1" applyBorder="1" applyAlignment="1">
      <alignment horizontal="left"/>
    </xf>
    <xf numFmtId="0" fontId="31" fillId="2" borderId="35" xfId="0" applyFont="1" applyFill="1" applyBorder="1" applyAlignment="1">
      <alignment horizontal="left"/>
    </xf>
    <xf numFmtId="10" fontId="35" fillId="2" borderId="36" xfId="3" applyNumberFormat="1" applyFont="1" applyFill="1" applyBorder="1" applyAlignment="1">
      <alignment horizontal="right" vertical="center"/>
    </xf>
    <xf numFmtId="0" fontId="31" fillId="0" borderId="2" xfId="0" applyFont="1" applyBorder="1" applyAlignment="1">
      <alignment vertical="center"/>
    </xf>
    <xf numFmtId="0" fontId="35" fillId="0" borderId="40" xfId="0" applyFont="1" applyBorder="1" applyAlignment="1">
      <alignment vertical="center"/>
    </xf>
    <xf numFmtId="7" fontId="31" fillId="2" borderId="41" xfId="0" applyNumberFormat="1" applyFont="1" applyFill="1" applyBorder="1" applyAlignment="1">
      <alignment horizontal="right" vertical="center"/>
    </xf>
    <xf numFmtId="0" fontId="31" fillId="2" borderId="22" xfId="0" applyFont="1" applyFill="1" applyBorder="1" applyAlignment="1">
      <alignment vertical="center"/>
    </xf>
    <xf numFmtId="7" fontId="31" fillId="2" borderId="23" xfId="0" applyNumberFormat="1" applyFont="1" applyFill="1" applyBorder="1" applyAlignment="1">
      <alignment horizontal="right" vertical="center"/>
    </xf>
    <xf numFmtId="0" fontId="31" fillId="0" borderId="38" xfId="0" applyFont="1" applyBorder="1" applyAlignment="1">
      <alignment vertical="center"/>
    </xf>
    <xf numFmtId="0" fontId="35" fillId="0" borderId="42" xfId="0" applyFont="1" applyBorder="1" applyAlignment="1">
      <alignment vertical="center"/>
    </xf>
    <xf numFmtId="7" fontId="31" fillId="2" borderId="39" xfId="0" applyNumberFormat="1" applyFont="1" applyFill="1" applyBorder="1" applyAlignment="1">
      <alignment horizontal="right" vertical="center"/>
    </xf>
    <xf numFmtId="8" fontId="32" fillId="2" borderId="0" xfId="0" applyNumberFormat="1" applyFont="1" applyFill="1" applyAlignment="1">
      <alignment horizontal="right" vertical="center"/>
    </xf>
    <xf numFmtId="0" fontId="35" fillId="0" borderId="37" xfId="0" applyFont="1" applyBorder="1" applyAlignment="1">
      <alignment vertical="center"/>
    </xf>
    <xf numFmtId="8" fontId="31" fillId="2" borderId="43" xfId="0" applyNumberFormat="1" applyFont="1" applyFill="1" applyBorder="1" applyAlignment="1">
      <alignment vertical="center"/>
    </xf>
    <xf numFmtId="6" fontId="35" fillId="2" borderId="36" xfId="3" applyNumberFormat="1" applyFont="1" applyFill="1" applyBorder="1" applyAlignment="1" applyProtection="1">
      <alignment horizontal="right" vertical="center"/>
    </xf>
    <xf numFmtId="167" fontId="41" fillId="2" borderId="5" xfId="0" applyNumberFormat="1" applyFont="1" applyFill="1" applyBorder="1" applyAlignment="1">
      <alignment horizontal="right"/>
    </xf>
    <xf numFmtId="0" fontId="32" fillId="2" borderId="0" xfId="0" applyFont="1" applyFill="1" applyAlignment="1">
      <alignment horizontal="left" wrapText="1"/>
    </xf>
    <xf numFmtId="171" fontId="37" fillId="2" borderId="0" xfId="0" applyNumberFormat="1" applyFont="1" applyFill="1" applyAlignment="1">
      <alignment horizontal="right" vertical="center" shrinkToFit="1"/>
    </xf>
    <xf numFmtId="0" fontId="35" fillId="2" borderId="29" xfId="0" applyFont="1" applyFill="1" applyBorder="1" applyAlignment="1">
      <alignment horizontal="left"/>
    </xf>
    <xf numFmtId="0" fontId="31" fillId="2" borderId="46" xfId="0" applyFont="1" applyFill="1" applyBorder="1" applyAlignment="1">
      <alignment horizontal="left"/>
    </xf>
    <xf numFmtId="187" fontId="35" fillId="2" borderId="47" xfId="0" applyNumberFormat="1" applyFont="1" applyFill="1" applyBorder="1" applyAlignment="1">
      <alignment horizontal="right" vertical="center"/>
    </xf>
    <xf numFmtId="0" fontId="31" fillId="2" borderId="29" xfId="0" applyFont="1" applyFill="1" applyBorder="1" applyAlignment="1">
      <alignment horizontal="left"/>
    </xf>
    <xf numFmtId="8" fontId="35" fillId="2" borderId="31" xfId="0" applyNumberFormat="1" applyFont="1" applyFill="1" applyBorder="1" applyAlignment="1">
      <alignment horizontal="right" vertical="center"/>
    </xf>
    <xf numFmtId="0" fontId="31" fillId="12" borderId="29" xfId="0" applyFont="1" applyFill="1" applyBorder="1" applyAlignment="1">
      <alignment vertical="center"/>
    </xf>
    <xf numFmtId="0" fontId="31" fillId="12" borderId="30" xfId="0" applyFont="1" applyFill="1" applyBorder="1" applyAlignment="1">
      <alignment horizontal="left"/>
    </xf>
    <xf numFmtId="9" fontId="35" fillId="12" borderId="31" xfId="3" applyFont="1" applyFill="1" applyBorder="1" applyAlignment="1" applyProtection="1">
      <alignment horizontal="center" vertical="center"/>
    </xf>
    <xf numFmtId="0" fontId="31" fillId="0" borderId="28" xfId="0" applyFont="1" applyBorder="1" applyAlignment="1">
      <alignment vertical="center"/>
    </xf>
    <xf numFmtId="0" fontId="31" fillId="2" borderId="6" xfId="0" applyFont="1" applyFill="1" applyBorder="1" applyAlignment="1">
      <alignment horizontal="left"/>
    </xf>
    <xf numFmtId="0" fontId="37" fillId="2" borderId="0" xfId="0" applyFont="1" applyFill="1" applyAlignment="1">
      <alignment horizontal="left"/>
    </xf>
    <xf numFmtId="8" fontId="31" fillId="2" borderId="31" xfId="0" applyNumberFormat="1" applyFont="1" applyFill="1" applyBorder="1"/>
    <xf numFmtId="167" fontId="13" fillId="2" borderId="17" xfId="0" applyNumberFormat="1" applyFont="1" applyFill="1" applyBorder="1" applyAlignment="1">
      <alignment horizontal="right"/>
    </xf>
    <xf numFmtId="184" fontId="13" fillId="2" borderId="17" xfId="0" applyNumberFormat="1" applyFont="1" applyFill="1" applyBorder="1" applyAlignment="1">
      <alignment horizontal="right"/>
    </xf>
    <xf numFmtId="167" fontId="13" fillId="2" borderId="11" xfId="0" applyNumberFormat="1" applyFont="1" applyFill="1" applyBorder="1" applyAlignment="1">
      <alignment horizontal="right"/>
    </xf>
    <xf numFmtId="184" fontId="13" fillId="2" borderId="11" xfId="0" applyNumberFormat="1" applyFont="1" applyFill="1" applyBorder="1" applyAlignment="1">
      <alignment horizontal="right"/>
    </xf>
    <xf numFmtId="8" fontId="35" fillId="2" borderId="0" xfId="0" applyNumberFormat="1" applyFont="1" applyFill="1"/>
    <xf numFmtId="167" fontId="42" fillId="2" borderId="22" xfId="0" applyNumberFormat="1" applyFont="1" applyFill="1" applyBorder="1" applyAlignment="1">
      <alignment horizontal="right"/>
    </xf>
    <xf numFmtId="167" fontId="13" fillId="2" borderId="22" xfId="0" applyNumberFormat="1" applyFont="1" applyFill="1" applyBorder="1" applyAlignment="1">
      <alignment horizontal="right"/>
    </xf>
    <xf numFmtId="0" fontId="31" fillId="0" borderId="29" xfId="0" applyFont="1" applyBorder="1" applyAlignment="1">
      <alignment vertical="center"/>
    </xf>
    <xf numFmtId="0" fontId="31" fillId="0" borderId="30" xfId="0" applyFont="1" applyBorder="1" applyAlignment="1">
      <alignment horizontal="center"/>
    </xf>
    <xf numFmtId="0" fontId="31" fillId="0" borderId="29" xfId="0" applyFont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189" fontId="35" fillId="13" borderId="47" xfId="0" applyNumberFormat="1" applyFont="1" applyFill="1" applyBorder="1" applyAlignment="1" applyProtection="1">
      <alignment horizontal="right" vertical="center"/>
      <protection locked="0"/>
    </xf>
    <xf numFmtId="8" fontId="31" fillId="13" borderId="44" xfId="0" applyNumberFormat="1" applyFont="1" applyFill="1" applyBorder="1" applyProtection="1">
      <protection locked="0"/>
    </xf>
    <xf numFmtId="8" fontId="31" fillId="13" borderId="55" xfId="0" applyNumberFormat="1" applyFont="1" applyFill="1" applyBorder="1" applyProtection="1">
      <protection locked="0"/>
    </xf>
    <xf numFmtId="0" fontId="35" fillId="13" borderId="47" xfId="0" applyFont="1" applyFill="1" applyBorder="1" applyAlignment="1" applyProtection="1">
      <alignment horizontal="center" vertical="center"/>
      <protection locked="0"/>
    </xf>
    <xf numFmtId="171" fontId="31" fillId="2" borderId="0" xfId="0" applyNumberFormat="1" applyFont="1" applyFill="1" applyAlignment="1">
      <alignment horizontal="center"/>
    </xf>
    <xf numFmtId="184" fontId="31" fillId="2" borderId="0" xfId="0" applyNumberFormat="1" applyFont="1" applyFill="1"/>
    <xf numFmtId="9" fontId="31" fillId="2" borderId="0" xfId="0" applyNumberFormat="1" applyFont="1" applyFill="1"/>
    <xf numFmtId="10" fontId="31" fillId="2" borderId="0" xfId="0" applyNumberFormat="1" applyFont="1" applyFill="1"/>
    <xf numFmtId="0" fontId="35" fillId="2" borderId="0" xfId="0" applyFont="1" applyFill="1"/>
    <xf numFmtId="0" fontId="31" fillId="2" borderId="0" xfId="0" applyFont="1" applyFill="1" applyAlignment="1">
      <alignment horizontal="left" wrapText="1"/>
    </xf>
    <xf numFmtId="188" fontId="35" fillId="2" borderId="0" xfId="0" applyNumberFormat="1" applyFont="1" applyFill="1" applyAlignment="1">
      <alignment horizontal="right" vertical="center"/>
    </xf>
    <xf numFmtId="8" fontId="35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left" vertical="center" wrapText="1"/>
    </xf>
    <xf numFmtId="0" fontId="35" fillId="0" borderId="0" xfId="0" applyFont="1" applyAlignment="1">
      <alignment vertical="center"/>
    </xf>
    <xf numFmtId="10" fontId="35" fillId="2" borderId="0" xfId="0" applyNumberFormat="1" applyFont="1" applyFill="1"/>
    <xf numFmtId="8" fontId="31" fillId="0" borderId="0" xfId="0" applyNumberFormat="1" applyFont="1"/>
    <xf numFmtId="0" fontId="35" fillId="2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8" fontId="31" fillId="0" borderId="0" xfId="0" applyNumberFormat="1" applyFont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8" fontId="32" fillId="2" borderId="0" xfId="0" applyNumberFormat="1" applyFont="1" applyFill="1" applyAlignment="1">
      <alignment horizontal="center"/>
    </xf>
    <xf numFmtId="8" fontId="32" fillId="0" borderId="0" xfId="0" applyNumberFormat="1" applyFont="1" applyAlignment="1">
      <alignment horizontal="center"/>
    </xf>
    <xf numFmtId="44" fontId="35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right"/>
    </xf>
    <xf numFmtId="0" fontId="43" fillId="2" borderId="0" xfId="0" applyFont="1" applyFill="1"/>
    <xf numFmtId="0" fontId="34" fillId="2" borderId="0" xfId="0" applyFont="1" applyFill="1"/>
    <xf numFmtId="8" fontId="44" fillId="2" borderId="0" xfId="0" applyNumberFormat="1" applyFont="1" applyFill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5" fontId="10" fillId="0" borderId="0" xfId="2" applyNumberFormat="1" applyFont="1" applyFill="1" applyBorder="1" applyAlignment="1">
      <alignment horizontal="right"/>
    </xf>
    <xf numFmtId="0" fontId="40" fillId="2" borderId="0" xfId="0" applyFont="1" applyFill="1"/>
    <xf numFmtId="8" fontId="13" fillId="0" borderId="0" xfId="2" applyNumberFormat="1" applyFont="1" applyFill="1" applyBorder="1" applyAlignment="1">
      <alignment horizontal="right"/>
    </xf>
    <xf numFmtId="0" fontId="10" fillId="2" borderId="32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7" fontId="10" fillId="2" borderId="59" xfId="0" applyNumberFormat="1" applyFont="1" applyFill="1" applyBorder="1" applyAlignment="1">
      <alignment horizontal="center"/>
    </xf>
    <xf numFmtId="0" fontId="10" fillId="2" borderId="60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167" fontId="10" fillId="2" borderId="39" xfId="0" applyNumberFormat="1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center"/>
    </xf>
    <xf numFmtId="0" fontId="10" fillId="2" borderId="65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10" fillId="2" borderId="67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7" fontId="10" fillId="2" borderId="56" xfId="0" applyNumberFormat="1" applyFont="1" applyFill="1" applyBorder="1" applyAlignment="1">
      <alignment horizontal="center"/>
    </xf>
    <xf numFmtId="0" fontId="0" fillId="15" borderId="68" xfId="0" applyFill="1" applyBorder="1" applyAlignment="1">
      <alignment horizontal="center"/>
    </xf>
    <xf numFmtId="0" fontId="0" fillId="15" borderId="69" xfId="0" applyFill="1" applyBorder="1" applyAlignment="1">
      <alignment horizontal="center"/>
    </xf>
    <xf numFmtId="0" fontId="45" fillId="15" borderId="70" xfId="0" applyFont="1" applyFill="1" applyBorder="1" applyAlignment="1">
      <alignment horizontal="center"/>
    </xf>
    <xf numFmtId="1" fontId="35" fillId="14" borderId="7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3" fontId="17" fillId="2" borderId="4" xfId="0" applyNumberFormat="1" applyFont="1" applyFill="1" applyBorder="1" applyAlignment="1">
      <alignment horizontal="center"/>
    </xf>
    <xf numFmtId="171" fontId="17" fillId="2" borderId="5" xfId="0" applyNumberFormat="1" applyFont="1" applyFill="1" applyBorder="1" applyAlignment="1">
      <alignment horizontal="right"/>
    </xf>
    <xf numFmtId="171" fontId="17" fillId="5" borderId="5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right"/>
    </xf>
    <xf numFmtId="0" fontId="17" fillId="2" borderId="10" xfId="0" applyFont="1" applyFill="1" applyBorder="1" applyAlignment="1">
      <alignment horizontal="right"/>
    </xf>
    <xf numFmtId="4" fontId="19" fillId="2" borderId="10" xfId="0" applyNumberFormat="1" applyFont="1" applyFill="1" applyBorder="1" applyAlignment="1">
      <alignment horizontal="right"/>
    </xf>
    <xf numFmtId="4" fontId="17" fillId="2" borderId="10" xfId="0" applyNumberFormat="1" applyFont="1" applyFill="1" applyBorder="1" applyAlignment="1">
      <alignment horizontal="right"/>
    </xf>
    <xf numFmtId="0" fontId="13" fillId="2" borderId="10" xfId="0" applyFont="1" applyFill="1" applyBorder="1" applyAlignment="1">
      <alignment horizontal="right"/>
    </xf>
    <xf numFmtId="179" fontId="17" fillId="2" borderId="10" xfId="0" applyNumberFormat="1" applyFont="1" applyFill="1" applyBorder="1" applyAlignment="1">
      <alignment horizontal="right"/>
    </xf>
    <xf numFmtId="179" fontId="17" fillId="2" borderId="19" xfId="0" applyNumberFormat="1" applyFont="1" applyFill="1" applyBorder="1" applyAlignment="1">
      <alignment horizontal="right"/>
    </xf>
    <xf numFmtId="9" fontId="35" fillId="13" borderId="50" xfId="3" applyFont="1" applyFill="1" applyBorder="1" applyAlignment="1" applyProtection="1">
      <alignment horizontal="center" vertical="center"/>
      <protection locked="0"/>
    </xf>
    <xf numFmtId="0" fontId="42" fillId="2" borderId="22" xfId="0" applyFont="1" applyFill="1" applyBorder="1" applyAlignment="1">
      <alignment horizontal="right"/>
    </xf>
    <xf numFmtId="167" fontId="13" fillId="2" borderId="10" xfId="0" applyNumberFormat="1" applyFont="1" applyFill="1" applyBorder="1" applyAlignment="1">
      <alignment horizontal="right"/>
    </xf>
    <xf numFmtId="184" fontId="13" fillId="2" borderId="10" xfId="0" applyNumberFormat="1" applyFont="1" applyFill="1" applyBorder="1" applyAlignment="1">
      <alignment horizontal="right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9" fontId="35" fillId="13" borderId="51" xfId="3" applyFont="1" applyFill="1" applyBorder="1" applyAlignment="1" applyProtection="1">
      <alignment horizontal="center" vertical="center" wrapText="1"/>
    </xf>
    <xf numFmtId="1" fontId="35" fillId="14" borderId="5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0" fontId="35" fillId="14" borderId="47" xfId="0" applyFont="1" applyFill="1" applyBorder="1" applyAlignment="1" applyProtection="1">
      <alignment horizontal="center" vertical="center" wrapText="1"/>
      <protection locked="0"/>
    </xf>
    <xf numFmtId="0" fontId="37" fillId="5" borderId="1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/>
    </xf>
    <xf numFmtId="44" fontId="31" fillId="5" borderId="1" xfId="0" applyNumberFormat="1" applyFont="1" applyFill="1" applyBorder="1" applyAlignment="1">
      <alignment horizontal="center"/>
    </xf>
    <xf numFmtId="171" fontId="31" fillId="5" borderId="1" xfId="0" applyNumberFormat="1" applyFont="1" applyFill="1" applyBorder="1" applyAlignment="1">
      <alignment horizontal="center"/>
    </xf>
    <xf numFmtId="8" fontId="31" fillId="5" borderId="1" xfId="0" applyNumberFormat="1" applyFont="1" applyFill="1" applyBorder="1" applyAlignment="1">
      <alignment horizontal="center"/>
    </xf>
    <xf numFmtId="8" fontId="31" fillId="5" borderId="16" xfId="0" applyNumberFormat="1" applyFont="1" applyFill="1" applyBorder="1" applyAlignment="1">
      <alignment horizontal="center"/>
    </xf>
    <xf numFmtId="8" fontId="31" fillId="5" borderId="0" xfId="0" applyNumberFormat="1" applyFont="1" applyFill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44" fontId="31" fillId="0" borderId="0" xfId="0" applyNumberFormat="1" applyFont="1" applyAlignment="1">
      <alignment horizontal="center"/>
    </xf>
    <xf numFmtId="171" fontId="31" fillId="0" borderId="0" xfId="0" applyNumberFormat="1" applyFont="1" applyAlignment="1">
      <alignment horizontal="center"/>
    </xf>
    <xf numFmtId="8" fontId="31" fillId="0" borderId="0" xfId="0" applyNumberFormat="1" applyFont="1" applyAlignment="1">
      <alignment horizontal="center"/>
    </xf>
    <xf numFmtId="0" fontId="35" fillId="10" borderId="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7" fontId="35" fillId="14" borderId="47" xfId="0" applyNumberFormat="1" applyFont="1" applyFill="1" applyBorder="1" applyAlignment="1" applyProtection="1">
      <alignment horizontal="center" vertical="center" wrapText="1"/>
      <protection locked="0"/>
    </xf>
    <xf numFmtId="8" fontId="31" fillId="13" borderId="31" xfId="0" applyNumberFormat="1" applyFont="1" applyFill="1" applyBorder="1" applyAlignment="1" applyProtection="1">
      <alignment horizontal="right" vertical="center"/>
      <protection locked="0"/>
    </xf>
    <xf numFmtId="10" fontId="35" fillId="16" borderId="14" xfId="0" applyNumberFormat="1" applyFont="1" applyFill="1" applyBorder="1" applyAlignment="1">
      <alignment horizontal="right" vertical="center"/>
    </xf>
    <xf numFmtId="167" fontId="13" fillId="2" borderId="37" xfId="0" applyNumberFormat="1" applyFont="1" applyFill="1" applyBorder="1" applyAlignment="1">
      <alignment horizontal="right"/>
    </xf>
    <xf numFmtId="184" fontId="13" fillId="2" borderId="43" xfId="0" applyNumberFormat="1" applyFont="1" applyFill="1" applyBorder="1" applyAlignment="1">
      <alignment horizontal="right"/>
    </xf>
    <xf numFmtId="184" fontId="13" fillId="2" borderId="34" xfId="0" applyNumberFormat="1" applyFont="1" applyFill="1" applyBorder="1" applyAlignment="1">
      <alignment horizontal="right"/>
    </xf>
    <xf numFmtId="184" fontId="13" fillId="2" borderId="23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0" fontId="20" fillId="16" borderId="31" xfId="3" applyNumberFormat="1" applyFont="1" applyFill="1" applyBorder="1" applyAlignment="1" applyProtection="1">
      <alignment horizontal="center" vertical="center"/>
    </xf>
    <xf numFmtId="49" fontId="47" fillId="2" borderId="0" xfId="0" applyNumberFormat="1" applyFont="1" applyFill="1" applyAlignment="1">
      <alignment horizontal="right"/>
    </xf>
    <xf numFmtId="0" fontId="47" fillId="2" borderId="0" xfId="0" applyFont="1" applyFill="1" applyAlignment="1">
      <alignment horizontal="right"/>
    </xf>
    <xf numFmtId="167" fontId="13" fillId="2" borderId="18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right"/>
    </xf>
    <xf numFmtId="0" fontId="13" fillId="2" borderId="2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10" fontId="35" fillId="13" borderId="13" xfId="3" applyNumberFormat="1" applyFont="1" applyFill="1" applyBorder="1" applyAlignment="1" applyProtection="1">
      <alignment horizontal="right" vertical="center"/>
    </xf>
    <xf numFmtId="8" fontId="31" fillId="2" borderId="0" xfId="0" applyNumberFormat="1" applyFont="1" applyFill="1" applyAlignment="1">
      <alignment horizontal="left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5" fillId="10" borderId="0" xfId="0" applyFont="1" applyFill="1" applyAlignment="1">
      <alignment horizontal="center" vertical="center"/>
    </xf>
    <xf numFmtId="0" fontId="35" fillId="12" borderId="22" xfId="0" applyFont="1" applyFill="1" applyBorder="1" applyAlignment="1">
      <alignment horizontal="center" vertical="center"/>
    </xf>
    <xf numFmtId="0" fontId="35" fillId="12" borderId="17" xfId="0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10" borderId="29" xfId="0" applyFont="1" applyFill="1" applyBorder="1" applyAlignment="1">
      <alignment horizontal="center" vertical="center" wrapText="1"/>
    </xf>
    <xf numFmtId="0" fontId="35" fillId="10" borderId="46" xfId="0" applyFont="1" applyFill="1" applyBorder="1" applyAlignment="1">
      <alignment horizontal="center" vertical="center" wrapText="1"/>
    </xf>
    <xf numFmtId="10" fontId="31" fillId="2" borderId="32" xfId="0" applyNumberFormat="1" applyFont="1" applyFill="1" applyBorder="1" applyAlignment="1">
      <alignment horizontal="left" vertical="center"/>
    </xf>
    <xf numFmtId="10" fontId="31" fillId="2" borderId="33" xfId="0" applyNumberFormat="1" applyFont="1" applyFill="1" applyBorder="1" applyAlignment="1">
      <alignment horizontal="left" vertical="center"/>
    </xf>
    <xf numFmtId="0" fontId="31" fillId="2" borderId="0" xfId="0" applyFont="1" applyFill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1" fillId="2" borderId="0" xfId="0" applyFont="1" applyFill="1" applyAlignment="1">
      <alignment horizontal="left" wrapText="1"/>
    </xf>
    <xf numFmtId="0" fontId="35" fillId="0" borderId="0" xfId="0" applyFont="1" applyAlignment="1">
      <alignment horizontal="left"/>
    </xf>
    <xf numFmtId="0" fontId="37" fillId="11" borderId="0" xfId="0" applyFont="1" applyFill="1" applyAlignment="1">
      <alignment horizontal="left" vertical="center"/>
    </xf>
    <xf numFmtId="8" fontId="44" fillId="2" borderId="0" xfId="0" applyNumberFormat="1" applyFont="1" applyFill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40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wrapText="1"/>
    </xf>
    <xf numFmtId="0" fontId="35" fillId="0" borderId="0" xfId="0" applyFont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35" fillId="2" borderId="29" xfId="0" applyFont="1" applyFill="1" applyBorder="1" applyAlignment="1" applyProtection="1">
      <alignment horizontal="left" vertical="center"/>
      <protection locked="0"/>
    </xf>
    <xf numFmtId="0" fontId="35" fillId="2" borderId="30" xfId="0" applyFont="1" applyFill="1" applyBorder="1" applyAlignment="1" applyProtection="1">
      <alignment horizontal="left" vertical="center"/>
      <protection locked="0"/>
    </xf>
    <xf numFmtId="0" fontId="35" fillId="2" borderId="31" xfId="0" applyFont="1" applyFill="1" applyBorder="1" applyAlignment="1" applyProtection="1">
      <alignment horizontal="left" vertical="center"/>
      <protection locked="0"/>
    </xf>
    <xf numFmtId="0" fontId="35" fillId="13" borderId="52" xfId="0" applyFont="1" applyFill="1" applyBorder="1" applyAlignment="1" applyProtection="1">
      <alignment horizontal="center" vertical="center"/>
      <protection locked="0"/>
    </xf>
    <xf numFmtId="0" fontId="35" fillId="13" borderId="53" xfId="0" applyFont="1" applyFill="1" applyBorder="1" applyAlignment="1" applyProtection="1">
      <alignment horizontal="center" vertical="center"/>
      <protection locked="0"/>
    </xf>
    <xf numFmtId="0" fontId="35" fillId="13" borderId="54" xfId="0" applyFont="1" applyFill="1" applyBorder="1" applyAlignment="1" applyProtection="1">
      <alignment horizontal="center" vertical="center"/>
      <protection locked="0"/>
    </xf>
    <xf numFmtId="0" fontId="48" fillId="10" borderId="29" xfId="0" applyFont="1" applyFill="1" applyBorder="1" applyAlignment="1">
      <alignment horizontal="center" vertical="center" shrinkToFit="1"/>
    </xf>
    <xf numFmtId="0" fontId="48" fillId="10" borderId="30" xfId="0" applyFont="1" applyFill="1" applyBorder="1" applyAlignment="1">
      <alignment horizontal="center" vertical="center" shrinkToFit="1"/>
    </xf>
    <xf numFmtId="0" fontId="48" fillId="10" borderId="31" xfId="0" applyFont="1" applyFill="1" applyBorder="1" applyAlignment="1">
      <alignment horizontal="center" vertical="center" shrinkToFit="1"/>
    </xf>
    <xf numFmtId="0" fontId="35" fillId="10" borderId="29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35" fillId="10" borderId="31" xfId="0" applyFont="1" applyFill="1" applyBorder="1" applyAlignment="1">
      <alignment horizontal="center" vertical="center"/>
    </xf>
    <xf numFmtId="0" fontId="35" fillId="10" borderId="29" xfId="0" applyFont="1" applyFill="1" applyBorder="1" applyAlignment="1">
      <alignment horizontal="left" vertical="center"/>
    </xf>
    <xf numFmtId="0" fontId="35" fillId="10" borderId="30" xfId="0" applyFont="1" applyFill="1" applyBorder="1" applyAlignment="1">
      <alignment horizontal="left" vertical="center"/>
    </xf>
    <xf numFmtId="0" fontId="35" fillId="10" borderId="31" xfId="0" applyFont="1" applyFill="1" applyBorder="1" applyAlignment="1">
      <alignment horizontal="left" vertical="center"/>
    </xf>
    <xf numFmtId="0" fontId="31" fillId="2" borderId="38" xfId="0" applyFont="1" applyFill="1" applyBorder="1" applyAlignment="1">
      <alignment horizontal="left" vertical="center" wrapText="1"/>
    </xf>
    <xf numFmtId="0" fontId="31" fillId="2" borderId="45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8" fontId="10" fillId="2" borderId="9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0" fillId="15" borderId="29" xfId="0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0" fillId="2" borderId="62" xfId="0" applyFont="1" applyFill="1" applyBorder="1" applyAlignment="1">
      <alignment horizontal="center" wrapText="1"/>
    </xf>
    <xf numFmtId="0" fontId="10" fillId="2" borderId="64" xfId="0" applyFont="1" applyFill="1" applyBorder="1" applyAlignment="1">
      <alignment horizontal="center" wrapText="1"/>
    </xf>
    <xf numFmtId="0" fontId="10" fillId="2" borderId="6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0">
    <dxf>
      <fill>
        <patternFill>
          <bgColor theme="6"/>
        </patternFill>
      </fill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 tint="0.59996337778862885"/>
        </patternFill>
      </fill>
      <border>
        <left style="thin">
          <color rgb="FF003300"/>
        </left>
        <right style="thin">
          <color rgb="FF003300"/>
        </right>
        <bottom style="thin">
          <color rgb="FF0033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gradientFill degree="90">
          <stop position="0">
            <color theme="0"/>
          </stop>
          <stop position="1">
            <color theme="6" tint="0.59999389629810485"/>
          </stop>
        </gradientFill>
      </fill>
      <border>
        <left style="thin">
          <color theme="2" tint="-0.499984740745262"/>
        </left>
        <right style="thin">
          <color theme="2" tint="-0.24994659260841701"/>
        </right>
        <top style="thin">
          <color theme="2" tint="-0.499984740745262"/>
        </top>
        <bottom style="thin">
          <color theme="2" tint="-0.24994659260841701"/>
        </bottom>
        <vertical/>
        <horizontal/>
      </border>
    </dxf>
    <dxf>
      <fill>
        <gradientFill degree="90">
          <stop position="0">
            <color theme="0"/>
          </stop>
          <stop position="1">
            <color theme="6" tint="0.59999389629810485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2D3D4"/>
      <color rgb="FFA4DAE7"/>
      <color rgb="FF3BB0C9"/>
      <color rgb="FF778692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'Simulador CH BX+'!$F$37</c:f>
              <c:strCache>
                <c:ptCount val="1"/>
                <c:pt idx="0">
                  <c:v>Amotización</c:v>
                </c:pt>
              </c:strCache>
            </c:strRef>
          </c:tx>
          <c:spPr>
            <a:ln>
              <a:solidFill>
                <a:srgbClr val="A4DAE7"/>
              </a:solidFill>
            </a:ln>
          </c:spPr>
          <c:marker>
            <c:symbol val="none"/>
          </c:marker>
          <c:cat>
            <c:numRef>
              <c:f>'Simulador CH BX+'!$C$38:$C$278</c:f>
              <c:numCache>
                <c:formatCode>General</c:formatCode>
                <c:ptCount val="2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</c:numCache>
            </c:numRef>
          </c:cat>
          <c:val>
            <c:numRef>
              <c:f>'Simulador CH BX+'!$F$39:$F$278</c:f>
              <c:numCache>
                <c:formatCode>"$"#,##0.00_);[Red]\("$"#,##0.00\)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3-44AC-B3DA-50C0E662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9360"/>
        <c:axId val="101520896"/>
      </c:lineChart>
      <c:lineChart>
        <c:grouping val="stacked"/>
        <c:varyColors val="0"/>
        <c:ser>
          <c:idx val="0"/>
          <c:order val="1"/>
          <c:tx>
            <c:strRef>
              <c:f>'Simulador CH BX+'!$E$37</c:f>
              <c:strCache>
                <c:ptCount val="1"/>
                <c:pt idx="0">
                  <c:v>Intereses</c:v>
                </c:pt>
              </c:strCache>
            </c:strRef>
          </c:tx>
          <c:spPr>
            <a:ln>
              <a:solidFill>
                <a:srgbClr val="3BB0C9"/>
              </a:solidFill>
            </a:ln>
          </c:spPr>
          <c:marker>
            <c:symbol val="none"/>
          </c:marker>
          <c:val>
            <c:numRef>
              <c:f>'Simulador CH BX+'!$E$39:$E$278</c:f>
              <c:numCache>
                <c:formatCode>"$"#,##0.00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3-44AC-B3DA-50C0E662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48800"/>
        <c:axId val="101522432"/>
      </c:lineChart>
      <c:catAx>
        <c:axId val="1015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520896"/>
        <c:crosses val="autoZero"/>
        <c:auto val="1"/>
        <c:lblAlgn val="ctr"/>
        <c:lblOffset val="100"/>
        <c:tickLblSkip val="12"/>
        <c:tickMarkSkip val="20"/>
        <c:noMultiLvlLbl val="0"/>
      </c:catAx>
      <c:valAx>
        <c:axId val="101520896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101519360"/>
        <c:crosses val="autoZero"/>
        <c:crossBetween val="between"/>
      </c:valAx>
      <c:valAx>
        <c:axId val="101522432"/>
        <c:scaling>
          <c:orientation val="minMax"/>
        </c:scaling>
        <c:delete val="1"/>
        <c:axPos val="r"/>
        <c:numFmt formatCode="&quot;$&quot;#,##0.00" sourceLinked="0"/>
        <c:majorTickMark val="out"/>
        <c:minorTickMark val="none"/>
        <c:tickLblPos val="nextTo"/>
        <c:crossAx val="101548800"/>
        <c:crosses val="max"/>
        <c:crossBetween val="between"/>
      </c:valAx>
      <c:catAx>
        <c:axId val="10154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015224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effectLst>
      <a:glow rad="228600">
        <a:schemeClr val="accent3">
          <a:satMod val="175000"/>
          <a:alpha val="40000"/>
        </a:schemeClr>
      </a:glow>
      <a:outerShdw blurRad="50800" dist="50800" dir="5400000" algn="ctr" rotWithShape="0">
        <a:schemeClr val="tx1">
          <a:lumMod val="65000"/>
          <a:lumOff val="35000"/>
        </a:schemeClr>
      </a:outerShdw>
    </a:effectLst>
    <a:scene3d>
      <a:camera prst="orthographicFront"/>
      <a:lightRig rig="glow" dir="t">
        <a:rot lat="0" lon="0" rev="14100000"/>
      </a:lightRig>
    </a:scene3d>
    <a:sp3d prstMaterial="softEdge">
      <a:bevelT w="127000" prst="artDeco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272142</xdr:colOff>
      <xdr:row>6</xdr:row>
      <xdr:rowOff>190500</xdr:rowOff>
    </xdr:from>
    <xdr:to>
      <xdr:col>15</xdr:col>
      <xdr:colOff>136071</xdr:colOff>
      <xdr:row>26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704578</xdr:colOff>
      <xdr:row>3</xdr:row>
      <xdr:rowOff>190499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190500"/>
          <a:ext cx="2216671" cy="748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292"/>
  <sheetViews>
    <sheetView showGridLines="0" showRowColHeaders="0" tabSelected="1" zoomScale="80" zoomScaleNormal="80" workbookViewId="0">
      <selection activeCell="B9" sqref="B9:D9"/>
    </sheetView>
  </sheetViews>
  <sheetFormatPr baseColWidth="10" defaultColWidth="0" defaultRowHeight="15.5" zeroHeight="1" x14ac:dyDescent="0.35"/>
  <cols>
    <col min="1" max="1" width="2.7265625" style="186" customWidth="1"/>
    <col min="2" max="2" width="22.54296875" style="186" customWidth="1"/>
    <col min="3" max="3" width="10.7265625" style="187" customWidth="1"/>
    <col min="4" max="4" width="26.7265625" style="186" customWidth="1"/>
    <col min="5" max="5" width="16.1796875" style="187" customWidth="1"/>
    <col min="6" max="6" width="19.81640625" style="186" customWidth="1"/>
    <col min="7" max="7" width="17.1796875" style="186" customWidth="1"/>
    <col min="8" max="8" width="18.7265625" style="186" customWidth="1"/>
    <col min="9" max="9" width="14.7265625" style="186" customWidth="1"/>
    <col min="10" max="10" width="18.7265625" style="186" customWidth="1"/>
    <col min="11" max="11" width="16.453125" style="186" customWidth="1"/>
    <col min="12" max="12" width="2.7265625" style="186" customWidth="1"/>
    <col min="13" max="13" width="15.81640625" style="186" customWidth="1"/>
    <col min="14" max="14" width="22.54296875" style="186" customWidth="1"/>
    <col min="15" max="15" width="6.81640625" style="186" hidden="1" customWidth="1"/>
    <col min="16" max="16" width="2.7265625" style="186" customWidth="1"/>
    <col min="17" max="17" width="3.26953125" style="186" customWidth="1"/>
    <col min="18" max="22" width="1.453125" style="186" hidden="1" customWidth="1"/>
    <col min="23" max="82" width="14.7265625" style="186" hidden="1" customWidth="1"/>
    <col min="83" max="16384" width="1.453125" style="186" hidden="1"/>
  </cols>
  <sheetData>
    <row r="1" spans="1:81" ht="15.75" customHeight="1" x14ac:dyDescent="0.35">
      <c r="P1" s="188"/>
    </row>
    <row r="2" spans="1:81" ht="15.75" customHeight="1" x14ac:dyDescent="0.35">
      <c r="G2" s="187"/>
      <c r="P2" s="188"/>
    </row>
    <row r="3" spans="1:81" ht="26.25" customHeight="1" x14ac:dyDescent="0.35">
      <c r="A3" s="188"/>
      <c r="B3" s="447" t="s">
        <v>171</v>
      </c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189"/>
      <c r="P3" s="189"/>
    </row>
    <row r="4" spans="1:81" ht="15.75" customHeight="1" x14ac:dyDescent="0.35"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</row>
    <row r="5" spans="1:81" ht="15.75" customHeight="1" x14ac:dyDescent="0.35"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81" ht="15.75" customHeight="1" x14ac:dyDescent="0.35">
      <c r="B6" s="444"/>
      <c r="C6" s="444"/>
      <c r="D6" s="444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81" ht="15.75" customHeight="1" thickBot="1" x14ac:dyDescent="0.4">
      <c r="B7" s="191"/>
      <c r="C7" s="192"/>
      <c r="E7" s="192"/>
      <c r="F7" s="193" t="s">
        <v>107</v>
      </c>
      <c r="G7" s="194"/>
      <c r="H7" s="194"/>
      <c r="I7" s="190"/>
      <c r="J7" s="190"/>
      <c r="K7" s="190"/>
      <c r="L7" s="190"/>
      <c r="M7" s="190"/>
      <c r="N7" s="190"/>
    </row>
    <row r="8" spans="1:81" ht="33" customHeight="1" thickBot="1" x14ac:dyDescent="0.4">
      <c r="B8" s="455" t="s">
        <v>199</v>
      </c>
      <c r="C8" s="456"/>
      <c r="D8" s="457"/>
      <c r="E8" s="186"/>
      <c r="F8" s="449"/>
      <c r="G8" s="450"/>
      <c r="H8" s="451"/>
      <c r="J8" s="195"/>
      <c r="M8" s="194"/>
      <c r="N8" s="196"/>
      <c r="O8" s="187"/>
    </row>
    <row r="9" spans="1:81" ht="27.75" customHeight="1" thickBot="1" x14ac:dyDescent="0.4">
      <c r="B9" s="452" t="s">
        <v>184</v>
      </c>
      <c r="C9" s="453"/>
      <c r="D9" s="454"/>
      <c r="E9" s="186"/>
      <c r="F9" s="448" t="str">
        <f>IF(H13&gt;80%,"AFORO SUJETO A AUTORIZACION DE FACULTADOS","")</f>
        <v/>
      </c>
      <c r="G9" s="448"/>
      <c r="H9" s="448"/>
      <c r="J9" s="197"/>
      <c r="Q9" s="198"/>
      <c r="R9" s="198"/>
      <c r="S9" s="198"/>
    </row>
    <row r="10" spans="1:81" ht="15.75" customHeight="1" thickBot="1" x14ac:dyDescent="0.4">
      <c r="C10" s="186"/>
      <c r="E10" s="186"/>
      <c r="J10" s="199"/>
      <c r="O10" s="200"/>
      <c r="P10" s="201"/>
      <c r="Q10" s="202"/>
      <c r="R10" s="202"/>
      <c r="S10" s="202"/>
    </row>
    <row r="11" spans="1:81" ht="25.5" customHeight="1" thickBot="1" x14ac:dyDescent="0.4">
      <c r="B11" s="458" t="s">
        <v>91</v>
      </c>
      <c r="C11" s="459"/>
      <c r="D11" s="460"/>
      <c r="E11" s="203"/>
      <c r="F11" s="461" t="s">
        <v>103</v>
      </c>
      <c r="G11" s="462"/>
      <c r="H11" s="463"/>
      <c r="J11" s="204"/>
      <c r="M11" s="205"/>
      <c r="O11" s="194"/>
      <c r="P11" s="204"/>
      <c r="Q11" s="302"/>
      <c r="R11" s="302"/>
      <c r="S11" s="206"/>
      <c r="AA11" s="207" t="s">
        <v>111</v>
      </c>
      <c r="AI11" s="207" t="s">
        <v>130</v>
      </c>
    </row>
    <row r="12" spans="1:81" ht="22.5" customHeight="1" thickBot="1" x14ac:dyDescent="0.4">
      <c r="B12" s="305" t="s">
        <v>117</v>
      </c>
      <c r="C12" s="306"/>
      <c r="D12" s="309">
        <v>20</v>
      </c>
      <c r="E12" s="208"/>
      <c r="F12" s="429" t="str">
        <f>AI12</f>
        <v>Monto de credito</v>
      </c>
      <c r="G12" s="430"/>
      <c r="H12" s="267">
        <f>VResPlus!F11</f>
        <v>0</v>
      </c>
      <c r="J12" s="209"/>
      <c r="M12" s="210"/>
      <c r="S12" s="203"/>
      <c r="AD12" s="446" t="str">
        <f>IF($B$9="COFINAVIT","Captura de Datos Infonavit","")</f>
        <v/>
      </c>
      <c r="AE12" s="446"/>
      <c r="AF12" s="446"/>
      <c r="AI12" s="186" t="str">
        <f>IF(AND(B9="SUSTITUCION",D29="SI"),"Monto de credito + gastos notariales","Monto de credito")</f>
        <v>Monto de credito</v>
      </c>
      <c r="CC12" s="186" t="str">
        <f>IF(H13&lt;=70.001%,"SETENTA",IF(AND(H13&gt;70.001%,H13&lt;=80.001%),"OCHENTA",IF(H13&gt;80.001%,"OCHENTA_Y_CINCO","")))</f>
        <v>SETENTA</v>
      </c>
    </row>
    <row r="13" spans="1:81" ht="18.75" customHeight="1" thickBot="1" x14ac:dyDescent="0.4">
      <c r="B13" s="294" t="s">
        <v>7</v>
      </c>
      <c r="C13" s="295"/>
      <c r="D13" s="400">
        <f>VResPlus!C9</f>
        <v>9.6500000000000002E-2</v>
      </c>
      <c r="E13" s="186"/>
      <c r="F13" s="268" t="str">
        <f>IF(H13&gt;D16+0.001,"Aforo rebasa el máximo permitido","Aforo")</f>
        <v>Aforo</v>
      </c>
      <c r="G13" s="269"/>
      <c r="H13" s="270">
        <f>VResPlus!F12</f>
        <v>0</v>
      </c>
      <c r="J13" s="211"/>
      <c r="M13" s="210"/>
      <c r="P13" s="211"/>
      <c r="AA13" s="186" t="s">
        <v>112</v>
      </c>
      <c r="AD13" s="416" t="str">
        <f>IF($B$9="COFINAVIT","Monto de crédito Infonavit","")</f>
        <v/>
      </c>
      <c r="AE13" s="416"/>
    </row>
    <row r="14" spans="1:81" ht="15.75" customHeight="1" thickBot="1" x14ac:dyDescent="0.4">
      <c r="B14" s="227" t="s">
        <v>92</v>
      </c>
      <c r="C14" s="265"/>
      <c r="D14" s="413">
        <v>0</v>
      </c>
      <c r="E14" s="203"/>
      <c r="F14" s="188" t="str">
        <f>AA25</f>
        <v>Aforo total con Infonavit</v>
      </c>
      <c r="G14" s="264"/>
      <c r="H14" s="266">
        <f>VResPlus!F41</f>
        <v>0</v>
      </c>
      <c r="J14" s="209"/>
      <c r="K14" s="194"/>
      <c r="L14" s="194"/>
      <c r="M14" s="210"/>
      <c r="O14" s="212"/>
      <c r="P14" s="209"/>
      <c r="AA14" s="186" t="s">
        <v>108</v>
      </c>
      <c r="AD14" s="416" t="str">
        <f>IF($B$9="COFINAVIT","Monto del SSV","")</f>
        <v/>
      </c>
      <c r="AE14" s="416"/>
      <c r="AI14" s="207" t="s">
        <v>133</v>
      </c>
    </row>
    <row r="15" spans="1:81" ht="31.5" customHeight="1" thickBot="1" x14ac:dyDescent="0.4">
      <c r="B15" s="464" t="s">
        <v>148</v>
      </c>
      <c r="C15" s="465"/>
      <c r="D15" s="282">
        <v>299</v>
      </c>
      <c r="E15" s="203"/>
      <c r="F15" s="289" t="s">
        <v>85</v>
      </c>
      <c r="G15" s="287"/>
      <c r="H15" s="290">
        <f>VResPlus!X6</f>
        <v>0</v>
      </c>
      <c r="J15" s="213"/>
      <c r="K15" s="194"/>
      <c r="L15" s="194"/>
      <c r="M15" s="214"/>
      <c r="O15" s="215"/>
      <c r="P15" s="213"/>
      <c r="AA15" s="186" t="s">
        <v>116</v>
      </c>
      <c r="AD15" s="416" t="str">
        <f>IF($B$9="COFINAVIT","Descuento Mensual Infonavit","")</f>
        <v/>
      </c>
      <c r="AE15" s="416"/>
      <c r="AI15" s="186" t="str">
        <f>IF(D22=0,"Monto de crédito BX+",IF(D22&lt;400000,"Crédito mínimo $400,000.00","Monto de crédito BX+"))</f>
        <v>Monto de crédito BX+</v>
      </c>
    </row>
    <row r="16" spans="1:81" ht="19.5" customHeight="1" thickBot="1" x14ac:dyDescent="0.4">
      <c r="B16" s="291" t="s">
        <v>200</v>
      </c>
      <c r="C16" s="292"/>
      <c r="D16" s="293">
        <f>VResPlus!C10</f>
        <v>0.7</v>
      </c>
      <c r="E16" s="203"/>
      <c r="F16" s="188" t="s">
        <v>59</v>
      </c>
      <c r="G16" s="284"/>
      <c r="H16" s="285">
        <f>VResPlus!F25</f>
        <v>0</v>
      </c>
      <c r="J16" s="213"/>
      <c r="K16" s="194"/>
      <c r="L16" s="194"/>
      <c r="M16" s="214"/>
      <c r="O16" s="215"/>
      <c r="P16" s="213"/>
      <c r="AA16" s="186" t="s">
        <v>119</v>
      </c>
      <c r="AD16" s="216" t="str">
        <f>IF(B9="COFINAVIT","Monto en Cofinanciamiento","")</f>
        <v/>
      </c>
      <c r="AE16" s="217"/>
      <c r="AG16" s="218" t="str">
        <f>IF(B9="COFINAVIT",D22+D25+D26,"")</f>
        <v/>
      </c>
    </row>
    <row r="17" spans="1:62" ht="31.5" customHeight="1" thickBot="1" x14ac:dyDescent="0.4">
      <c r="B17" s="439" t="s">
        <v>98</v>
      </c>
      <c r="C17" s="440"/>
      <c r="D17" s="376" t="s">
        <v>164</v>
      </c>
      <c r="E17" s="203"/>
      <c r="F17" s="286" t="s">
        <v>19</v>
      </c>
      <c r="G17" s="287"/>
      <c r="H17" s="288">
        <f>VResPlus!AJ249</f>
        <v>0</v>
      </c>
      <c r="J17" s="213"/>
      <c r="K17" s="194"/>
      <c r="L17" s="194"/>
      <c r="M17" s="214"/>
      <c r="O17" s="215"/>
      <c r="P17" s="213"/>
      <c r="AA17" s="186" t="s">
        <v>113</v>
      </c>
    </row>
    <row r="18" spans="1:62" ht="30" customHeight="1" x14ac:dyDescent="0.35">
      <c r="B18" s="441" t="s">
        <v>147</v>
      </c>
      <c r="C18" s="442"/>
      <c r="D18" s="370" t="s">
        <v>146</v>
      </c>
      <c r="E18" s="208"/>
      <c r="F18" s="193"/>
      <c r="G18" s="194"/>
      <c r="H18" s="220"/>
      <c r="J18" s="213"/>
      <c r="K18" s="194"/>
      <c r="L18" s="194"/>
      <c r="M18" s="213"/>
      <c r="O18" s="215"/>
      <c r="AA18" s="186" t="s">
        <v>134</v>
      </c>
      <c r="AD18" s="221" t="s">
        <v>114</v>
      </c>
      <c r="AE18" s="221"/>
      <c r="AF18" s="221"/>
    </row>
    <row r="19" spans="1:62" ht="18" customHeight="1" thickBot="1" x14ac:dyDescent="0.4">
      <c r="C19" s="186"/>
      <c r="E19" s="208"/>
      <c r="J19" s="213"/>
      <c r="K19" s="194"/>
      <c r="L19" s="194"/>
      <c r="M19" s="213"/>
      <c r="O19" s="215"/>
      <c r="P19" s="213"/>
      <c r="AD19" s="416" t="s">
        <v>140</v>
      </c>
      <c r="AE19" s="416"/>
    </row>
    <row r="20" spans="1:62" ht="15.75" customHeight="1" thickBot="1" x14ac:dyDescent="0.4">
      <c r="B20" s="458" t="s">
        <v>101</v>
      </c>
      <c r="C20" s="459"/>
      <c r="D20" s="460"/>
      <c r="E20" s="222"/>
      <c r="F20" s="461" t="s">
        <v>94</v>
      </c>
      <c r="G20" s="462"/>
      <c r="H20" s="463"/>
      <c r="J20" s="213"/>
      <c r="K20" s="445"/>
      <c r="L20" s="445"/>
      <c r="M20" s="213"/>
      <c r="AA20" s="207" t="s">
        <v>114</v>
      </c>
    </row>
    <row r="21" spans="1:62" ht="24" customHeight="1" thickBot="1" x14ac:dyDescent="0.4">
      <c r="B21" s="280" t="s">
        <v>93</v>
      </c>
      <c r="C21" s="281"/>
      <c r="D21" s="310"/>
      <c r="E21" s="186"/>
      <c r="F21" s="271" t="s">
        <v>99</v>
      </c>
      <c r="G21" s="272"/>
      <c r="H21" s="273">
        <f>VResPlus!F27*1.16</f>
        <v>0</v>
      </c>
      <c r="J21" s="213"/>
      <c r="O21" s="223"/>
      <c r="P21" s="213"/>
      <c r="S21" s="187"/>
    </row>
    <row r="22" spans="1:62" ht="22.5" customHeight="1" thickTop="1" x14ac:dyDescent="0.35">
      <c r="B22" s="423" t="str">
        <f>AI15</f>
        <v>Monto de crédito BX+</v>
      </c>
      <c r="C22" s="424"/>
      <c r="D22" s="311"/>
      <c r="E22" s="224"/>
      <c r="F22" s="274" t="s">
        <v>100</v>
      </c>
      <c r="G22" s="225"/>
      <c r="H22" s="275">
        <f>VResPlus!F29*1.16</f>
        <v>1508</v>
      </c>
      <c r="J22" s="204"/>
      <c r="O22" s="226"/>
      <c r="P22" s="204"/>
      <c r="AA22" s="194" t="str">
        <f>IF(D9="SI","Gastos notariales  (4% aprox.)","")</f>
        <v/>
      </c>
    </row>
    <row r="23" spans="1:62" ht="27.75" customHeight="1" thickBot="1" x14ac:dyDescent="0.4">
      <c r="B23" s="418" t="s">
        <v>177</v>
      </c>
      <c r="C23" s="419"/>
      <c r="D23" s="420"/>
      <c r="E23" s="186"/>
      <c r="F23" s="276" t="s">
        <v>92</v>
      </c>
      <c r="G23" s="277"/>
      <c r="H23" s="278">
        <f>VResPlus!F32</f>
        <v>0</v>
      </c>
      <c r="I23" s="209"/>
      <c r="J23" s="209"/>
    </row>
    <row r="24" spans="1:62" ht="33" customHeight="1" thickBot="1" x14ac:dyDescent="0.4">
      <c r="B24" s="425" t="s">
        <v>180</v>
      </c>
      <c r="C24" s="426"/>
      <c r="D24" s="358" t="s">
        <v>127</v>
      </c>
      <c r="E24" s="186"/>
      <c r="F24" s="261" t="s">
        <v>95</v>
      </c>
      <c r="G24" s="262"/>
      <c r="H24" s="263">
        <f>D25*0.05</f>
        <v>0</v>
      </c>
      <c r="J24" s="211"/>
      <c r="K24" s="228"/>
      <c r="L24" s="228"/>
      <c r="M24" s="211"/>
      <c r="AA24" s="207" t="s">
        <v>115</v>
      </c>
    </row>
    <row r="25" spans="1:62" ht="36" customHeight="1" thickBot="1" x14ac:dyDescent="0.4">
      <c r="B25" s="421" t="s">
        <v>181</v>
      </c>
      <c r="C25" s="422"/>
      <c r="D25" s="358"/>
      <c r="E25" s="186"/>
      <c r="F25" s="307" t="s">
        <v>141</v>
      </c>
      <c r="G25" s="406" t="e">
        <f>VResPlus!F38</f>
        <v>#DIV/0!</v>
      </c>
      <c r="H25" s="399">
        <v>30000</v>
      </c>
      <c r="J25" s="230"/>
      <c r="O25" s="231"/>
      <c r="P25" s="232"/>
      <c r="AA25" s="224" t="str">
        <f>IF($H$14&gt;$D$16,"Aforo rebasa el máximo permitido","Aforo total con Infonavit")</f>
        <v>Aforo total con Infonavit</v>
      </c>
    </row>
    <row r="26" spans="1:62" ht="32.25" customHeight="1" thickBot="1" x14ac:dyDescent="0.4">
      <c r="B26" s="432" t="s">
        <v>182</v>
      </c>
      <c r="C26" s="433"/>
      <c r="D26" s="377"/>
      <c r="E26" s="186"/>
      <c r="F26" s="264" t="s">
        <v>96</v>
      </c>
      <c r="G26" s="264"/>
      <c r="H26" s="279">
        <f>VResPlus!F39</f>
        <v>0</v>
      </c>
      <c r="J26" s="220"/>
      <c r="O26" s="233"/>
      <c r="P26" s="226"/>
      <c r="Q26" s="226"/>
    </row>
    <row r="27" spans="1:62" ht="15.75" customHeight="1" x14ac:dyDescent="0.35">
      <c r="A27" s="188"/>
      <c r="B27" s="434" t="str">
        <f>AD15</f>
        <v/>
      </c>
      <c r="C27" s="434"/>
      <c r="D27" s="229"/>
      <c r="E27" s="186"/>
      <c r="H27" s="187"/>
      <c r="J27" s="234"/>
      <c r="AA27" s="207" t="s">
        <v>126</v>
      </c>
    </row>
    <row r="28" spans="1:62" ht="15.75" customHeight="1" thickBot="1" x14ac:dyDescent="0.4">
      <c r="A28" s="188"/>
      <c r="B28" s="339"/>
      <c r="C28" s="339"/>
      <c r="D28" s="339"/>
      <c r="E28" s="339"/>
      <c r="F28" s="443" t="s">
        <v>142</v>
      </c>
      <c r="G28" s="443"/>
      <c r="H28" s="443"/>
      <c r="I28" s="443"/>
      <c r="J28" s="443"/>
      <c r="K28" s="443"/>
      <c r="L28" s="443"/>
      <c r="M28" s="443"/>
      <c r="N28" s="443"/>
      <c r="O28" s="235"/>
      <c r="P28" s="187"/>
      <c r="AA28" s="207"/>
    </row>
    <row r="29" spans="1:62" ht="33" customHeight="1" thickBot="1" x14ac:dyDescent="0.4">
      <c r="A29" s="188"/>
      <c r="B29" s="427" t="str">
        <f>AD19</f>
        <v>Financiamiento de gastos notariales</v>
      </c>
      <c r="C29" s="428"/>
      <c r="D29" s="312" t="s">
        <v>128</v>
      </c>
      <c r="E29" s="186" t="str">
        <f>AA33</f>
        <v/>
      </c>
      <c r="F29" s="443"/>
      <c r="G29" s="443"/>
      <c r="H29" s="443"/>
      <c r="I29" s="443"/>
      <c r="J29" s="443"/>
      <c r="K29" s="443"/>
      <c r="L29" s="443"/>
      <c r="M29" s="443"/>
      <c r="N29" s="443"/>
      <c r="O29" s="235"/>
      <c r="P29" s="187"/>
      <c r="AA29" s="186" t="s">
        <v>127</v>
      </c>
    </row>
    <row r="30" spans="1:62" ht="15.75" customHeight="1" thickBot="1" x14ac:dyDescent="0.4">
      <c r="A30" s="188"/>
      <c r="C30" s="186"/>
      <c r="E30" s="186"/>
      <c r="F30" s="286" t="s">
        <v>97</v>
      </c>
      <c r="G30" s="287"/>
      <c r="H30" s="297">
        <f>IF(D29="NO",SUM(H21:H23)+H25,SUM(H21:H23))</f>
        <v>31508</v>
      </c>
      <c r="J30" s="234"/>
      <c r="K30" s="219"/>
      <c r="L30" s="219"/>
      <c r="M30" s="230"/>
      <c r="O30" s="235"/>
      <c r="P30" s="187"/>
      <c r="AA30" s="186" t="s">
        <v>128</v>
      </c>
    </row>
    <row r="31" spans="1:62" ht="14.15" customHeight="1" thickBot="1" x14ac:dyDescent="0.4">
      <c r="A31" s="188"/>
      <c r="B31" s="436" t="str">
        <f>AD16</f>
        <v/>
      </c>
      <c r="C31" s="436"/>
      <c r="D31" s="229" t="str">
        <f>AG16</f>
        <v/>
      </c>
      <c r="E31" s="186"/>
      <c r="F31" s="296" t="s">
        <v>97</v>
      </c>
      <c r="G31" s="264"/>
      <c r="H31" s="279"/>
      <c r="J31" s="234"/>
      <c r="K31" s="219"/>
      <c r="L31" s="219"/>
      <c r="M31" s="230"/>
      <c r="O31" s="235"/>
      <c r="P31" s="187"/>
      <c r="AA31" s="186">
        <f>COUNTIF(D24:D26,"SI")</f>
        <v>1</v>
      </c>
    </row>
    <row r="32" spans="1:62" ht="33" customHeight="1" thickBot="1" x14ac:dyDescent="0.45">
      <c r="A32" s="188"/>
      <c r="B32" s="427" t="s">
        <v>151</v>
      </c>
      <c r="C32" s="428"/>
      <c r="D32" s="379" t="s">
        <v>169</v>
      </c>
      <c r="E32" s="186"/>
      <c r="F32" s="438"/>
      <c r="G32" s="438"/>
      <c r="H32" s="438"/>
      <c r="I32" s="438"/>
      <c r="J32" s="438"/>
      <c r="K32" s="438"/>
      <c r="L32" s="438"/>
      <c r="M32" s="335"/>
      <c r="O32" s="235"/>
      <c r="P32" s="187"/>
      <c r="AA32" s="207" t="s">
        <v>129</v>
      </c>
      <c r="BJ32" s="333" t="s">
        <v>159</v>
      </c>
    </row>
    <row r="33" spans="1:62" ht="22" customHeight="1" thickBot="1" x14ac:dyDescent="0.4">
      <c r="A33" s="188"/>
      <c r="B33" s="427" t="s">
        <v>178</v>
      </c>
      <c r="C33" s="428"/>
      <c r="D33" s="398">
        <f>D21*0.7</f>
        <v>0</v>
      </c>
      <c r="E33" s="339"/>
      <c r="F33" s="339"/>
      <c r="G33" s="339"/>
      <c r="H33" s="339"/>
      <c r="I33" s="339"/>
      <c r="J33" s="339"/>
      <c r="K33" s="339"/>
      <c r="L33" s="219"/>
      <c r="M33" s="319"/>
      <c r="AA33" s="186" t="str">
        <f>IF(AND(B9="",D29="SI",H13&gt;D15),"NO ES POSIBLE FINANCIAR GASTOS NOTARIALES","")</f>
        <v/>
      </c>
      <c r="BJ33" s="334" t="s">
        <v>169</v>
      </c>
    </row>
    <row r="34" spans="1:62" ht="18" customHeight="1" x14ac:dyDescent="0.35">
      <c r="C34" s="186"/>
      <c r="E34" s="186"/>
      <c r="G34" s="320"/>
      <c r="H34" s="193"/>
      <c r="I34" s="234"/>
      <c r="J34" s="234"/>
      <c r="K34" s="321"/>
      <c r="L34" s="321"/>
      <c r="M34" s="230"/>
      <c r="O34" s="321"/>
      <c r="BJ34" s="186" t="s">
        <v>167</v>
      </c>
    </row>
    <row r="35" spans="1:62" ht="22.5" customHeight="1" x14ac:dyDescent="0.35">
      <c r="C35" s="417" t="s">
        <v>8</v>
      </c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322"/>
      <c r="P35" s="321"/>
      <c r="AA35" s="186" t="s">
        <v>132</v>
      </c>
      <c r="BJ35" s="186" t="s">
        <v>153</v>
      </c>
    </row>
    <row r="36" spans="1:62" ht="18" customHeight="1" x14ac:dyDescent="0.35">
      <c r="C36" s="253"/>
      <c r="D36" s="253"/>
      <c r="E36" s="253"/>
      <c r="F36" s="253"/>
      <c r="G36" s="323"/>
      <c r="K36" s="253"/>
      <c r="L36" s="253"/>
      <c r="M36" s="324"/>
      <c r="N36" s="324"/>
      <c r="AA36" s="186">
        <f>IF(B9="SUSTITUCION","N/A INFONAVIT",0.8501)</f>
        <v>0.85009999999999997</v>
      </c>
    </row>
    <row r="37" spans="1:62" ht="48" customHeight="1" x14ac:dyDescent="0.35">
      <c r="C37" s="391" t="s">
        <v>9</v>
      </c>
      <c r="D37" s="391" t="s">
        <v>2</v>
      </c>
      <c r="E37" s="391" t="s">
        <v>23</v>
      </c>
      <c r="F37" s="391" t="s">
        <v>102</v>
      </c>
      <c r="G37" s="391" t="s">
        <v>25</v>
      </c>
      <c r="H37" s="391" t="s">
        <v>10</v>
      </c>
      <c r="I37" s="391" t="s">
        <v>3</v>
      </c>
      <c r="J37" s="391" t="s">
        <v>143</v>
      </c>
      <c r="K37" s="391" t="s">
        <v>22</v>
      </c>
      <c r="L37" s="325"/>
      <c r="M37" s="380" t="s">
        <v>32</v>
      </c>
      <c r="N37" s="326"/>
      <c r="O37" s="322"/>
      <c r="P37" s="327"/>
    </row>
    <row r="38" spans="1:62" ht="13.5" customHeight="1" x14ac:dyDescent="0.35">
      <c r="C38" s="328">
        <v>0</v>
      </c>
      <c r="D38" s="329">
        <v>0</v>
      </c>
      <c r="E38" s="329">
        <v>0</v>
      </c>
      <c r="F38" s="329">
        <v>0</v>
      </c>
      <c r="G38" s="329">
        <v>0</v>
      </c>
      <c r="H38" s="329">
        <v>0</v>
      </c>
      <c r="I38" s="329">
        <v>0</v>
      </c>
      <c r="J38" s="329">
        <v>0</v>
      </c>
      <c r="K38" s="329">
        <v>0</v>
      </c>
      <c r="L38" s="237"/>
      <c r="M38" s="330">
        <v>0</v>
      </c>
      <c r="N38" s="238"/>
    </row>
    <row r="39" spans="1:62" x14ac:dyDescent="0.35">
      <c r="C39" s="239">
        <v>1</v>
      </c>
      <c r="D39" s="331">
        <f>VResPlus!O6</f>
        <v>0</v>
      </c>
      <c r="E39" s="240">
        <f>VResPlus!P6</f>
        <v>0</v>
      </c>
      <c r="F39" s="236">
        <f>VResPlus!Q6</f>
        <v>0</v>
      </c>
      <c r="G39" s="236">
        <f>VResPlus!S6</f>
        <v>0</v>
      </c>
      <c r="H39" s="236">
        <f>VResPlus!U6</f>
        <v>0</v>
      </c>
      <c r="I39" s="236">
        <f>VResPlus!V6</f>
        <v>0</v>
      </c>
      <c r="J39" s="236">
        <f>VResPlus!W6</f>
        <v>0</v>
      </c>
      <c r="K39" s="236">
        <f>VResPlus!X6</f>
        <v>0</v>
      </c>
      <c r="L39" s="237"/>
      <c r="M39" s="242">
        <v>0</v>
      </c>
      <c r="N39" s="415"/>
      <c r="O39" s="415"/>
      <c r="P39" s="415"/>
    </row>
    <row r="40" spans="1:62" x14ac:dyDescent="0.35">
      <c r="C40" s="239">
        <f>C39+1</f>
        <v>2</v>
      </c>
      <c r="D40" s="243">
        <f>VResPlus!O7</f>
        <v>0</v>
      </c>
      <c r="E40" s="240">
        <f>VResPlus!P7</f>
        <v>0</v>
      </c>
      <c r="F40" s="236">
        <f>VResPlus!Q7</f>
        <v>0</v>
      </c>
      <c r="G40" s="236">
        <f>VResPlus!S7</f>
        <v>0</v>
      </c>
      <c r="H40" s="236">
        <f>VResPlus!U7</f>
        <v>0</v>
      </c>
      <c r="I40" s="236">
        <f>VResPlus!V7</f>
        <v>0</v>
      </c>
      <c r="J40" s="236">
        <f>VResPlus!W7</f>
        <v>0</v>
      </c>
      <c r="K40" s="236">
        <f>VResPlus!X7</f>
        <v>0</v>
      </c>
      <c r="L40" s="237"/>
      <c r="M40" s="242">
        <v>0</v>
      </c>
      <c r="N40" s="238"/>
    </row>
    <row r="41" spans="1:62" x14ac:dyDescent="0.35">
      <c r="C41" s="239">
        <f t="shared" ref="C41:C104" si="0">C40+1</f>
        <v>3</v>
      </c>
      <c r="D41" s="243">
        <f>VResPlus!O8</f>
        <v>0</v>
      </c>
      <c r="E41" s="240">
        <f>VResPlus!P8</f>
        <v>0</v>
      </c>
      <c r="F41" s="236">
        <f>VResPlus!Q8</f>
        <v>0</v>
      </c>
      <c r="G41" s="236">
        <f>VResPlus!S8</f>
        <v>0</v>
      </c>
      <c r="H41" s="236">
        <f>VResPlus!U8</f>
        <v>0</v>
      </c>
      <c r="I41" s="236">
        <f>VResPlus!V8</f>
        <v>0</v>
      </c>
      <c r="J41" s="236">
        <f>VResPlus!W8</f>
        <v>0</v>
      </c>
      <c r="K41" s="236">
        <f>VResPlus!X8</f>
        <v>0</v>
      </c>
      <c r="L41" s="237"/>
      <c r="M41" s="242">
        <v>0</v>
      </c>
      <c r="N41" s="238"/>
    </row>
    <row r="42" spans="1:62" x14ac:dyDescent="0.35">
      <c r="C42" s="239">
        <f t="shared" si="0"/>
        <v>4</v>
      </c>
      <c r="D42" s="243">
        <f>VResPlus!O9</f>
        <v>0</v>
      </c>
      <c r="E42" s="240">
        <f>VResPlus!P9</f>
        <v>0</v>
      </c>
      <c r="F42" s="236">
        <f>VResPlus!Q9</f>
        <v>0</v>
      </c>
      <c r="G42" s="236">
        <f>VResPlus!S9</f>
        <v>0</v>
      </c>
      <c r="H42" s="236">
        <f>VResPlus!U9</f>
        <v>0</v>
      </c>
      <c r="I42" s="236">
        <f>VResPlus!V9</f>
        <v>0</v>
      </c>
      <c r="J42" s="241">
        <f>VResPlus!W9</f>
        <v>0</v>
      </c>
      <c r="K42" s="236">
        <f>VResPlus!X9</f>
        <v>0</v>
      </c>
      <c r="L42" s="237"/>
      <c r="M42" s="242">
        <v>0</v>
      </c>
      <c r="N42" s="238"/>
    </row>
    <row r="43" spans="1:62" x14ac:dyDescent="0.35">
      <c r="C43" s="239">
        <f t="shared" si="0"/>
        <v>5</v>
      </c>
      <c r="D43" s="243">
        <f>VResPlus!O10</f>
        <v>0</v>
      </c>
      <c r="E43" s="240">
        <f>VResPlus!P10</f>
        <v>0</v>
      </c>
      <c r="F43" s="236">
        <f>VResPlus!Q10</f>
        <v>0</v>
      </c>
      <c r="G43" s="236">
        <f>VResPlus!S10</f>
        <v>0</v>
      </c>
      <c r="H43" s="236">
        <f>VResPlus!U10</f>
        <v>0</v>
      </c>
      <c r="I43" s="236">
        <f>VResPlus!V10</f>
        <v>0</v>
      </c>
      <c r="J43" s="241">
        <f>VResPlus!W10</f>
        <v>0</v>
      </c>
      <c r="K43" s="236">
        <f>VResPlus!X10</f>
        <v>0</v>
      </c>
      <c r="L43" s="237"/>
      <c r="M43" s="242">
        <v>0</v>
      </c>
      <c r="N43" s="238"/>
    </row>
    <row r="44" spans="1:62" x14ac:dyDescent="0.35">
      <c r="C44" s="239">
        <f t="shared" si="0"/>
        <v>6</v>
      </c>
      <c r="D44" s="243">
        <f>VResPlus!O11</f>
        <v>0</v>
      </c>
      <c r="E44" s="240">
        <f>VResPlus!P11</f>
        <v>0</v>
      </c>
      <c r="F44" s="236">
        <f>VResPlus!Q11</f>
        <v>0</v>
      </c>
      <c r="G44" s="236">
        <f>VResPlus!S11</f>
        <v>0</v>
      </c>
      <c r="H44" s="236">
        <f>VResPlus!U11</f>
        <v>0</v>
      </c>
      <c r="I44" s="236">
        <f>VResPlus!V11</f>
        <v>0</v>
      </c>
      <c r="J44" s="241">
        <f>VResPlus!W11</f>
        <v>0</v>
      </c>
      <c r="K44" s="236">
        <f>VResPlus!X11</f>
        <v>0</v>
      </c>
      <c r="L44" s="237"/>
      <c r="M44" s="242">
        <v>0</v>
      </c>
      <c r="N44" s="238"/>
    </row>
    <row r="45" spans="1:62" x14ac:dyDescent="0.35">
      <c r="C45" s="239">
        <f t="shared" si="0"/>
        <v>7</v>
      </c>
      <c r="D45" s="243">
        <f>VResPlus!O12</f>
        <v>0</v>
      </c>
      <c r="E45" s="240">
        <f>VResPlus!P12</f>
        <v>0</v>
      </c>
      <c r="F45" s="236">
        <f>VResPlus!Q12</f>
        <v>0</v>
      </c>
      <c r="G45" s="236">
        <f>VResPlus!S12</f>
        <v>0</v>
      </c>
      <c r="H45" s="236">
        <f>VResPlus!U12</f>
        <v>0</v>
      </c>
      <c r="I45" s="236">
        <f>VResPlus!V12</f>
        <v>0</v>
      </c>
      <c r="J45" s="241">
        <f>VResPlus!W12</f>
        <v>0</v>
      </c>
      <c r="K45" s="236">
        <f>VResPlus!X12</f>
        <v>0</v>
      </c>
      <c r="L45" s="237"/>
      <c r="M45" s="242">
        <v>0</v>
      </c>
      <c r="N45" s="238"/>
      <c r="O45" s="186" t="s">
        <v>4</v>
      </c>
    </row>
    <row r="46" spans="1:62" x14ac:dyDescent="0.35">
      <c r="C46" s="239">
        <f t="shared" si="0"/>
        <v>8</v>
      </c>
      <c r="D46" s="243">
        <f>VResPlus!O13</f>
        <v>0</v>
      </c>
      <c r="E46" s="240">
        <f>VResPlus!P13</f>
        <v>0</v>
      </c>
      <c r="F46" s="236">
        <f>VResPlus!Q13</f>
        <v>0</v>
      </c>
      <c r="G46" s="236">
        <f>VResPlus!S13</f>
        <v>0</v>
      </c>
      <c r="H46" s="236">
        <f>VResPlus!U13</f>
        <v>0</v>
      </c>
      <c r="I46" s="236">
        <f>VResPlus!V13</f>
        <v>0</v>
      </c>
      <c r="J46" s="241">
        <f>VResPlus!W13</f>
        <v>0</v>
      </c>
      <c r="K46" s="236">
        <f>VResPlus!X13</f>
        <v>0</v>
      </c>
      <c r="L46" s="237"/>
      <c r="M46" s="242">
        <v>0</v>
      </c>
      <c r="N46" s="238"/>
    </row>
    <row r="47" spans="1:62" x14ac:dyDescent="0.35">
      <c r="C47" s="239">
        <f t="shared" si="0"/>
        <v>9</v>
      </c>
      <c r="D47" s="243">
        <f>VResPlus!O14</f>
        <v>0</v>
      </c>
      <c r="E47" s="240">
        <f>VResPlus!P14</f>
        <v>0</v>
      </c>
      <c r="F47" s="236">
        <f>VResPlus!Q14</f>
        <v>0</v>
      </c>
      <c r="G47" s="236">
        <f>VResPlus!S14</f>
        <v>0</v>
      </c>
      <c r="H47" s="236">
        <f>VResPlus!U14</f>
        <v>0</v>
      </c>
      <c r="I47" s="236">
        <f>VResPlus!V14</f>
        <v>0</v>
      </c>
      <c r="J47" s="241">
        <f>VResPlus!W14</f>
        <v>0</v>
      </c>
      <c r="K47" s="236">
        <f>VResPlus!X14</f>
        <v>0</v>
      </c>
      <c r="L47" s="237"/>
      <c r="M47" s="242">
        <v>0</v>
      </c>
      <c r="N47" s="238"/>
    </row>
    <row r="48" spans="1:62" x14ac:dyDescent="0.35">
      <c r="C48" s="239">
        <f t="shared" si="0"/>
        <v>10</v>
      </c>
      <c r="D48" s="243">
        <f>VResPlus!O15</f>
        <v>0</v>
      </c>
      <c r="E48" s="240">
        <f>VResPlus!P15</f>
        <v>0</v>
      </c>
      <c r="F48" s="236">
        <f>VResPlus!Q15</f>
        <v>0</v>
      </c>
      <c r="G48" s="236">
        <f>VResPlus!S15</f>
        <v>0</v>
      </c>
      <c r="H48" s="236">
        <f>VResPlus!U15</f>
        <v>0</v>
      </c>
      <c r="I48" s="236">
        <f>VResPlus!V15</f>
        <v>0</v>
      </c>
      <c r="J48" s="241">
        <f>VResPlus!W15</f>
        <v>0</v>
      </c>
      <c r="K48" s="236">
        <f>VResPlus!X15</f>
        <v>0</v>
      </c>
      <c r="L48" s="237"/>
      <c r="M48" s="242">
        <v>0</v>
      </c>
      <c r="N48" s="238"/>
    </row>
    <row r="49" spans="3:14" x14ac:dyDescent="0.35">
      <c r="C49" s="239">
        <f t="shared" si="0"/>
        <v>11</v>
      </c>
      <c r="D49" s="243">
        <f>VResPlus!O16</f>
        <v>0</v>
      </c>
      <c r="E49" s="240">
        <f>VResPlus!P16</f>
        <v>0</v>
      </c>
      <c r="F49" s="236">
        <f>VResPlus!Q16</f>
        <v>0</v>
      </c>
      <c r="G49" s="236">
        <f>VResPlus!S16</f>
        <v>0</v>
      </c>
      <c r="H49" s="236">
        <f>VResPlus!U16</f>
        <v>0</v>
      </c>
      <c r="I49" s="236">
        <f>VResPlus!V16</f>
        <v>0</v>
      </c>
      <c r="J49" s="241">
        <f>VResPlus!W16</f>
        <v>0</v>
      </c>
      <c r="K49" s="236">
        <f>VResPlus!X16</f>
        <v>0</v>
      </c>
      <c r="L49" s="237"/>
      <c r="M49" s="242">
        <v>0</v>
      </c>
      <c r="N49" s="238"/>
    </row>
    <row r="50" spans="3:14" x14ac:dyDescent="0.35">
      <c r="C50" s="381">
        <f t="shared" si="0"/>
        <v>12</v>
      </c>
      <c r="D50" s="382">
        <f>VResPlus!O17</f>
        <v>0</v>
      </c>
      <c r="E50" s="383">
        <f>VResPlus!P17</f>
        <v>0</v>
      </c>
      <c r="F50" s="384">
        <f>VResPlus!Q17</f>
        <v>0</v>
      </c>
      <c r="G50" s="384">
        <f>VResPlus!S17</f>
        <v>0</v>
      </c>
      <c r="H50" s="384">
        <f>VResPlus!U17</f>
        <v>0</v>
      </c>
      <c r="I50" s="384">
        <f>VResPlus!V17</f>
        <v>0</v>
      </c>
      <c r="J50" s="385">
        <f>VResPlus!W17</f>
        <v>0</v>
      </c>
      <c r="K50" s="384">
        <f>VResPlus!X17</f>
        <v>0</v>
      </c>
      <c r="L50" s="237"/>
      <c r="M50" s="386">
        <v>0</v>
      </c>
      <c r="N50" s="238"/>
    </row>
    <row r="51" spans="3:14" x14ac:dyDescent="0.35">
      <c r="C51" s="239">
        <f t="shared" si="0"/>
        <v>13</v>
      </c>
      <c r="D51" s="243">
        <f>VResPlus!O18</f>
        <v>0</v>
      </c>
      <c r="E51" s="240">
        <f>VResPlus!P18</f>
        <v>0</v>
      </c>
      <c r="F51" s="236">
        <f>VResPlus!Q18</f>
        <v>0</v>
      </c>
      <c r="G51" s="236">
        <f>VResPlus!S18</f>
        <v>0</v>
      </c>
      <c r="H51" s="236">
        <f>VResPlus!U18</f>
        <v>0</v>
      </c>
      <c r="I51" s="236">
        <f>VResPlus!V18</f>
        <v>0</v>
      </c>
      <c r="J51" s="241">
        <f>VResPlus!W18</f>
        <v>0</v>
      </c>
      <c r="K51" s="236">
        <f>VResPlus!X18</f>
        <v>0</v>
      </c>
      <c r="L51" s="237"/>
      <c r="M51" s="242">
        <v>0</v>
      </c>
      <c r="N51" s="238"/>
    </row>
    <row r="52" spans="3:14" x14ac:dyDescent="0.35">
      <c r="C52" s="239">
        <f t="shared" si="0"/>
        <v>14</v>
      </c>
      <c r="D52" s="243">
        <f>VResPlus!O19</f>
        <v>0</v>
      </c>
      <c r="E52" s="240">
        <f>VResPlus!P19</f>
        <v>0</v>
      </c>
      <c r="F52" s="236">
        <f>VResPlus!Q19</f>
        <v>0</v>
      </c>
      <c r="G52" s="236">
        <f>VResPlus!S19</f>
        <v>0</v>
      </c>
      <c r="H52" s="236">
        <f>VResPlus!U19</f>
        <v>0</v>
      </c>
      <c r="I52" s="236">
        <f>VResPlus!V19</f>
        <v>0</v>
      </c>
      <c r="J52" s="241">
        <f>VResPlus!W19</f>
        <v>0</v>
      </c>
      <c r="K52" s="236">
        <f>VResPlus!X19</f>
        <v>0</v>
      </c>
      <c r="L52" s="237"/>
      <c r="M52" s="242">
        <v>0</v>
      </c>
      <c r="N52" s="238"/>
    </row>
    <row r="53" spans="3:14" x14ac:dyDescent="0.35">
      <c r="C53" s="239">
        <f t="shared" si="0"/>
        <v>15</v>
      </c>
      <c r="D53" s="243">
        <f>VResPlus!O20</f>
        <v>0</v>
      </c>
      <c r="E53" s="240">
        <f>VResPlus!P20</f>
        <v>0</v>
      </c>
      <c r="F53" s="236">
        <f>VResPlus!Q20</f>
        <v>0</v>
      </c>
      <c r="G53" s="236">
        <f>VResPlus!S20</f>
        <v>0</v>
      </c>
      <c r="H53" s="236">
        <f>VResPlus!U20</f>
        <v>0</v>
      </c>
      <c r="I53" s="236">
        <f>VResPlus!V20</f>
        <v>0</v>
      </c>
      <c r="J53" s="241">
        <f>VResPlus!W20</f>
        <v>0</v>
      </c>
      <c r="K53" s="236">
        <f>VResPlus!X20</f>
        <v>0</v>
      </c>
      <c r="L53" s="237"/>
      <c r="M53" s="242">
        <v>0</v>
      </c>
      <c r="N53" s="238"/>
    </row>
    <row r="54" spans="3:14" x14ac:dyDescent="0.35">
      <c r="C54" s="239">
        <f t="shared" si="0"/>
        <v>16</v>
      </c>
      <c r="D54" s="243">
        <f>VResPlus!O21</f>
        <v>0</v>
      </c>
      <c r="E54" s="240">
        <f>VResPlus!P21</f>
        <v>0</v>
      </c>
      <c r="F54" s="236">
        <f>VResPlus!Q21</f>
        <v>0</v>
      </c>
      <c r="G54" s="236">
        <f>VResPlus!S21</f>
        <v>0</v>
      </c>
      <c r="H54" s="236">
        <f>VResPlus!U21</f>
        <v>0</v>
      </c>
      <c r="I54" s="236">
        <f>VResPlus!V21</f>
        <v>0</v>
      </c>
      <c r="J54" s="241">
        <f>VResPlus!W21</f>
        <v>0</v>
      </c>
      <c r="K54" s="236">
        <f>VResPlus!X21</f>
        <v>0</v>
      </c>
      <c r="L54" s="237"/>
      <c r="M54" s="242">
        <v>0</v>
      </c>
      <c r="N54" s="238"/>
    </row>
    <row r="55" spans="3:14" x14ac:dyDescent="0.35">
      <c r="C55" s="239">
        <f t="shared" si="0"/>
        <v>17</v>
      </c>
      <c r="D55" s="243">
        <f>VResPlus!O22</f>
        <v>0</v>
      </c>
      <c r="E55" s="240">
        <f>VResPlus!P22</f>
        <v>0</v>
      </c>
      <c r="F55" s="236">
        <f>VResPlus!Q22</f>
        <v>0</v>
      </c>
      <c r="G55" s="236">
        <f>VResPlus!S22</f>
        <v>0</v>
      </c>
      <c r="H55" s="236">
        <f>VResPlus!U22</f>
        <v>0</v>
      </c>
      <c r="I55" s="236">
        <f>VResPlus!V22</f>
        <v>0</v>
      </c>
      <c r="J55" s="241">
        <f>VResPlus!W22</f>
        <v>0</v>
      </c>
      <c r="K55" s="236">
        <f>VResPlus!X22</f>
        <v>0</v>
      </c>
      <c r="L55" s="237"/>
      <c r="M55" s="242">
        <v>0</v>
      </c>
      <c r="N55" s="238"/>
    </row>
    <row r="56" spans="3:14" x14ac:dyDescent="0.35">
      <c r="C56" s="239">
        <f t="shared" si="0"/>
        <v>18</v>
      </c>
      <c r="D56" s="243">
        <f>VResPlus!O23</f>
        <v>0</v>
      </c>
      <c r="E56" s="240">
        <f>VResPlus!P23</f>
        <v>0</v>
      </c>
      <c r="F56" s="236">
        <f>VResPlus!Q23</f>
        <v>0</v>
      </c>
      <c r="G56" s="236">
        <f>VResPlus!S23</f>
        <v>0</v>
      </c>
      <c r="H56" s="236">
        <f>VResPlus!U23</f>
        <v>0</v>
      </c>
      <c r="I56" s="236">
        <f>VResPlus!V23</f>
        <v>0</v>
      </c>
      <c r="J56" s="241">
        <f>VResPlus!W23</f>
        <v>0</v>
      </c>
      <c r="K56" s="236">
        <f>VResPlus!X23</f>
        <v>0</v>
      </c>
      <c r="L56" s="237"/>
      <c r="M56" s="242">
        <v>0</v>
      </c>
      <c r="N56" s="238"/>
    </row>
    <row r="57" spans="3:14" x14ac:dyDescent="0.35">
      <c r="C57" s="239">
        <f t="shared" si="0"/>
        <v>19</v>
      </c>
      <c r="D57" s="243">
        <f>VResPlus!O24</f>
        <v>0</v>
      </c>
      <c r="E57" s="240">
        <f>VResPlus!P24</f>
        <v>0</v>
      </c>
      <c r="F57" s="236">
        <f>VResPlus!Q24</f>
        <v>0</v>
      </c>
      <c r="G57" s="236">
        <f>VResPlus!S24</f>
        <v>0</v>
      </c>
      <c r="H57" s="236">
        <f>VResPlus!U24</f>
        <v>0</v>
      </c>
      <c r="I57" s="236">
        <f>VResPlus!V24</f>
        <v>0</v>
      </c>
      <c r="J57" s="241">
        <f>VResPlus!W24</f>
        <v>0</v>
      </c>
      <c r="K57" s="236">
        <f>VResPlus!X24</f>
        <v>0</v>
      </c>
      <c r="L57" s="237"/>
      <c r="M57" s="242">
        <v>0</v>
      </c>
      <c r="N57" s="238"/>
    </row>
    <row r="58" spans="3:14" x14ac:dyDescent="0.35">
      <c r="C58" s="239">
        <f t="shared" si="0"/>
        <v>20</v>
      </c>
      <c r="D58" s="243">
        <f>VResPlus!O25</f>
        <v>0</v>
      </c>
      <c r="E58" s="240">
        <f>VResPlus!P25</f>
        <v>0</v>
      </c>
      <c r="F58" s="236">
        <f>VResPlus!Q25</f>
        <v>0</v>
      </c>
      <c r="G58" s="236">
        <f>VResPlus!S25</f>
        <v>0</v>
      </c>
      <c r="H58" s="236">
        <f>VResPlus!U25</f>
        <v>0</v>
      </c>
      <c r="I58" s="236">
        <f>VResPlus!V25</f>
        <v>0</v>
      </c>
      <c r="J58" s="241">
        <f>VResPlus!W25</f>
        <v>0</v>
      </c>
      <c r="K58" s="236">
        <f>VResPlus!X25</f>
        <v>0</v>
      </c>
      <c r="L58" s="237"/>
      <c r="M58" s="242">
        <v>0</v>
      </c>
      <c r="N58" s="238"/>
    </row>
    <row r="59" spans="3:14" x14ac:dyDescent="0.35">
      <c r="C59" s="239">
        <f t="shared" si="0"/>
        <v>21</v>
      </c>
      <c r="D59" s="243">
        <f>VResPlus!O26</f>
        <v>0</v>
      </c>
      <c r="E59" s="240">
        <f>VResPlus!P26</f>
        <v>0</v>
      </c>
      <c r="F59" s="236">
        <f>VResPlus!Q26</f>
        <v>0</v>
      </c>
      <c r="G59" s="236">
        <f>VResPlus!S26</f>
        <v>0</v>
      </c>
      <c r="H59" s="236">
        <f>VResPlus!U26</f>
        <v>0</v>
      </c>
      <c r="I59" s="236">
        <f>VResPlus!V26</f>
        <v>0</v>
      </c>
      <c r="J59" s="241">
        <f>VResPlus!W26</f>
        <v>0</v>
      </c>
      <c r="K59" s="236">
        <f>VResPlus!X26</f>
        <v>0</v>
      </c>
      <c r="L59" s="237"/>
      <c r="M59" s="242">
        <v>0</v>
      </c>
      <c r="N59" s="238"/>
    </row>
    <row r="60" spans="3:14" x14ac:dyDescent="0.35">
      <c r="C60" s="239">
        <f t="shared" si="0"/>
        <v>22</v>
      </c>
      <c r="D60" s="243">
        <f>VResPlus!O27</f>
        <v>0</v>
      </c>
      <c r="E60" s="240">
        <f>VResPlus!P27</f>
        <v>0</v>
      </c>
      <c r="F60" s="236">
        <f>VResPlus!Q27</f>
        <v>0</v>
      </c>
      <c r="G60" s="236">
        <f>VResPlus!S27</f>
        <v>0</v>
      </c>
      <c r="H60" s="236">
        <f>VResPlus!U27</f>
        <v>0</v>
      </c>
      <c r="I60" s="236">
        <f>VResPlus!V27</f>
        <v>0</v>
      </c>
      <c r="J60" s="241">
        <f>VResPlus!W27</f>
        <v>0</v>
      </c>
      <c r="K60" s="236">
        <f>VResPlus!X27</f>
        <v>0</v>
      </c>
      <c r="L60" s="237"/>
      <c r="M60" s="242">
        <v>0</v>
      </c>
      <c r="N60" s="238"/>
    </row>
    <row r="61" spans="3:14" x14ac:dyDescent="0.35">
      <c r="C61" s="239">
        <f t="shared" si="0"/>
        <v>23</v>
      </c>
      <c r="D61" s="243">
        <f>VResPlus!O28</f>
        <v>0</v>
      </c>
      <c r="E61" s="240">
        <f>VResPlus!P28</f>
        <v>0</v>
      </c>
      <c r="F61" s="236">
        <f>VResPlus!Q28</f>
        <v>0</v>
      </c>
      <c r="G61" s="236">
        <f>VResPlus!S28</f>
        <v>0</v>
      </c>
      <c r="H61" s="236">
        <f>VResPlus!U28</f>
        <v>0</v>
      </c>
      <c r="I61" s="236">
        <f>VResPlus!V28</f>
        <v>0</v>
      </c>
      <c r="J61" s="241">
        <f>VResPlus!W28</f>
        <v>0</v>
      </c>
      <c r="K61" s="236">
        <f>VResPlus!X28</f>
        <v>0</v>
      </c>
      <c r="L61" s="237"/>
      <c r="M61" s="242">
        <v>0</v>
      </c>
      <c r="N61" s="238"/>
    </row>
    <row r="62" spans="3:14" x14ac:dyDescent="0.35">
      <c r="C62" s="381">
        <f t="shared" si="0"/>
        <v>24</v>
      </c>
      <c r="D62" s="382">
        <f>VResPlus!O29</f>
        <v>0</v>
      </c>
      <c r="E62" s="383">
        <f>VResPlus!P29</f>
        <v>0</v>
      </c>
      <c r="F62" s="384">
        <f>VResPlus!Q29</f>
        <v>0</v>
      </c>
      <c r="G62" s="384">
        <f>VResPlus!S29</f>
        <v>0</v>
      </c>
      <c r="H62" s="384">
        <f>VResPlus!U29</f>
        <v>0</v>
      </c>
      <c r="I62" s="384">
        <f>VResPlus!V29</f>
        <v>0</v>
      </c>
      <c r="J62" s="385">
        <f>VResPlus!W29</f>
        <v>0</v>
      </c>
      <c r="K62" s="384">
        <f>VResPlus!X29</f>
        <v>0</v>
      </c>
      <c r="L62" s="237"/>
      <c r="M62" s="386">
        <v>0</v>
      </c>
      <c r="N62" s="238"/>
    </row>
    <row r="63" spans="3:14" x14ac:dyDescent="0.35">
      <c r="C63" s="239">
        <f t="shared" si="0"/>
        <v>25</v>
      </c>
      <c r="D63" s="243">
        <f>VResPlus!O30</f>
        <v>0</v>
      </c>
      <c r="E63" s="240">
        <f>VResPlus!P30</f>
        <v>0</v>
      </c>
      <c r="F63" s="236">
        <f>VResPlus!Q30</f>
        <v>0</v>
      </c>
      <c r="G63" s="236">
        <f>VResPlus!S30</f>
        <v>0</v>
      </c>
      <c r="H63" s="236">
        <f>VResPlus!U30</f>
        <v>0</v>
      </c>
      <c r="I63" s="236">
        <f>VResPlus!V30</f>
        <v>0</v>
      </c>
      <c r="J63" s="241">
        <f>VResPlus!W30</f>
        <v>0</v>
      </c>
      <c r="K63" s="236">
        <f>VResPlus!X30</f>
        <v>0</v>
      </c>
      <c r="L63" s="237"/>
      <c r="M63" s="242">
        <v>0</v>
      </c>
      <c r="N63" s="238"/>
    </row>
    <row r="64" spans="3:14" x14ac:dyDescent="0.35">
      <c r="C64" s="239">
        <f t="shared" si="0"/>
        <v>26</v>
      </c>
      <c r="D64" s="243">
        <f>VResPlus!O31</f>
        <v>0</v>
      </c>
      <c r="E64" s="240">
        <f>VResPlus!P31</f>
        <v>0</v>
      </c>
      <c r="F64" s="236">
        <f>VResPlus!Q31</f>
        <v>0</v>
      </c>
      <c r="G64" s="236">
        <f>VResPlus!S31</f>
        <v>0</v>
      </c>
      <c r="H64" s="236">
        <f>VResPlus!U31</f>
        <v>0</v>
      </c>
      <c r="I64" s="236">
        <f>VResPlus!V31</f>
        <v>0</v>
      </c>
      <c r="J64" s="241">
        <f>VResPlus!W31</f>
        <v>0</v>
      </c>
      <c r="K64" s="236">
        <f>VResPlus!X31</f>
        <v>0</v>
      </c>
      <c r="L64" s="237"/>
      <c r="M64" s="242">
        <v>0</v>
      </c>
      <c r="N64" s="238"/>
    </row>
    <row r="65" spans="3:14" x14ac:dyDescent="0.35">
      <c r="C65" s="239">
        <f t="shared" si="0"/>
        <v>27</v>
      </c>
      <c r="D65" s="243">
        <f>VResPlus!O32</f>
        <v>0</v>
      </c>
      <c r="E65" s="240">
        <f>VResPlus!P32</f>
        <v>0</v>
      </c>
      <c r="F65" s="236">
        <f>VResPlus!Q32</f>
        <v>0</v>
      </c>
      <c r="G65" s="236">
        <f>VResPlus!S32</f>
        <v>0</v>
      </c>
      <c r="H65" s="236">
        <f>VResPlus!U32</f>
        <v>0</v>
      </c>
      <c r="I65" s="236">
        <f>VResPlus!V32</f>
        <v>0</v>
      </c>
      <c r="J65" s="241">
        <f>VResPlus!W32</f>
        <v>0</v>
      </c>
      <c r="K65" s="236">
        <f>VResPlus!X32</f>
        <v>0</v>
      </c>
      <c r="L65" s="237"/>
      <c r="M65" s="242">
        <v>0</v>
      </c>
      <c r="N65" s="238"/>
    </row>
    <row r="66" spans="3:14" x14ac:dyDescent="0.35">
      <c r="C66" s="239">
        <f t="shared" si="0"/>
        <v>28</v>
      </c>
      <c r="D66" s="243">
        <f>VResPlus!O33</f>
        <v>0</v>
      </c>
      <c r="E66" s="240">
        <f>VResPlus!P33</f>
        <v>0</v>
      </c>
      <c r="F66" s="236">
        <f>VResPlus!Q33</f>
        <v>0</v>
      </c>
      <c r="G66" s="236">
        <f>VResPlus!S33</f>
        <v>0</v>
      </c>
      <c r="H66" s="236">
        <f>VResPlus!U33</f>
        <v>0</v>
      </c>
      <c r="I66" s="236">
        <f>VResPlus!V33</f>
        <v>0</v>
      </c>
      <c r="J66" s="241">
        <f>VResPlus!W33</f>
        <v>0</v>
      </c>
      <c r="K66" s="236">
        <f>VResPlus!X33</f>
        <v>0</v>
      </c>
      <c r="L66" s="237"/>
      <c r="M66" s="242">
        <v>0</v>
      </c>
      <c r="N66" s="238"/>
    </row>
    <row r="67" spans="3:14" x14ac:dyDescent="0.35">
      <c r="C67" s="239">
        <f t="shared" si="0"/>
        <v>29</v>
      </c>
      <c r="D67" s="243">
        <f>VResPlus!O34</f>
        <v>0</v>
      </c>
      <c r="E67" s="240">
        <f>VResPlus!P34</f>
        <v>0</v>
      </c>
      <c r="F67" s="236">
        <f>VResPlus!Q34</f>
        <v>0</v>
      </c>
      <c r="G67" s="236">
        <f>VResPlus!S34</f>
        <v>0</v>
      </c>
      <c r="H67" s="236">
        <f>VResPlus!U34</f>
        <v>0</v>
      </c>
      <c r="I67" s="236">
        <f>VResPlus!V34</f>
        <v>0</v>
      </c>
      <c r="J67" s="241">
        <f>VResPlus!W34</f>
        <v>0</v>
      </c>
      <c r="K67" s="236">
        <f>VResPlus!X34</f>
        <v>0</v>
      </c>
      <c r="L67" s="237"/>
      <c r="M67" s="242">
        <v>0</v>
      </c>
      <c r="N67" s="238"/>
    </row>
    <row r="68" spans="3:14" x14ac:dyDescent="0.35">
      <c r="C68" s="239">
        <f t="shared" si="0"/>
        <v>30</v>
      </c>
      <c r="D68" s="243">
        <f>VResPlus!O35</f>
        <v>0</v>
      </c>
      <c r="E68" s="240">
        <f>VResPlus!P35</f>
        <v>0</v>
      </c>
      <c r="F68" s="236">
        <f>VResPlus!Q35</f>
        <v>0</v>
      </c>
      <c r="G68" s="236">
        <f>VResPlus!S35</f>
        <v>0</v>
      </c>
      <c r="H68" s="236">
        <f>VResPlus!U35</f>
        <v>0</v>
      </c>
      <c r="I68" s="236">
        <f>VResPlus!V35</f>
        <v>0</v>
      </c>
      <c r="J68" s="241">
        <f>VResPlus!W35</f>
        <v>0</v>
      </c>
      <c r="K68" s="236">
        <f>VResPlus!X35</f>
        <v>0</v>
      </c>
      <c r="L68" s="237"/>
      <c r="M68" s="242">
        <v>0</v>
      </c>
      <c r="N68" s="238"/>
    </row>
    <row r="69" spans="3:14" x14ac:dyDescent="0.35">
      <c r="C69" s="239">
        <f t="shared" si="0"/>
        <v>31</v>
      </c>
      <c r="D69" s="243">
        <f>VResPlus!O36</f>
        <v>0</v>
      </c>
      <c r="E69" s="240">
        <f>VResPlus!P36</f>
        <v>0</v>
      </c>
      <c r="F69" s="236">
        <f>VResPlus!Q36</f>
        <v>0</v>
      </c>
      <c r="G69" s="236">
        <f>VResPlus!S36</f>
        <v>0</v>
      </c>
      <c r="H69" s="236">
        <f>VResPlus!U36</f>
        <v>0</v>
      </c>
      <c r="I69" s="236">
        <f>VResPlus!V36</f>
        <v>0</v>
      </c>
      <c r="J69" s="241">
        <f>VResPlus!W36</f>
        <v>0</v>
      </c>
      <c r="K69" s="236">
        <f>VResPlus!X36</f>
        <v>0</v>
      </c>
      <c r="L69" s="237"/>
      <c r="M69" s="242">
        <v>0</v>
      </c>
      <c r="N69" s="238"/>
    </row>
    <row r="70" spans="3:14" x14ac:dyDescent="0.35">
      <c r="C70" s="239">
        <f t="shared" si="0"/>
        <v>32</v>
      </c>
      <c r="D70" s="243">
        <f>VResPlus!O37</f>
        <v>0</v>
      </c>
      <c r="E70" s="240">
        <f>VResPlus!P37</f>
        <v>0</v>
      </c>
      <c r="F70" s="236">
        <f>VResPlus!Q37</f>
        <v>0</v>
      </c>
      <c r="G70" s="236">
        <f>VResPlus!S37</f>
        <v>0</v>
      </c>
      <c r="H70" s="236">
        <f>VResPlus!U37</f>
        <v>0</v>
      </c>
      <c r="I70" s="236">
        <f>VResPlus!V37</f>
        <v>0</v>
      </c>
      <c r="J70" s="241">
        <f>VResPlus!W37</f>
        <v>0</v>
      </c>
      <c r="K70" s="236">
        <f>VResPlus!X37</f>
        <v>0</v>
      </c>
      <c r="L70" s="237"/>
      <c r="M70" s="242">
        <v>0</v>
      </c>
      <c r="N70" s="238"/>
    </row>
    <row r="71" spans="3:14" x14ac:dyDescent="0.35">
      <c r="C71" s="239">
        <f t="shared" si="0"/>
        <v>33</v>
      </c>
      <c r="D71" s="243">
        <f>VResPlus!O38</f>
        <v>0</v>
      </c>
      <c r="E71" s="240">
        <f>VResPlus!P38</f>
        <v>0</v>
      </c>
      <c r="F71" s="236">
        <f>VResPlus!Q38</f>
        <v>0</v>
      </c>
      <c r="G71" s="236">
        <f>VResPlus!S38</f>
        <v>0</v>
      </c>
      <c r="H71" s="236">
        <f>VResPlus!U38</f>
        <v>0</v>
      </c>
      <c r="I71" s="236">
        <f>VResPlus!V38</f>
        <v>0</v>
      </c>
      <c r="J71" s="241">
        <f>VResPlus!W38</f>
        <v>0</v>
      </c>
      <c r="K71" s="236">
        <f>VResPlus!X38</f>
        <v>0</v>
      </c>
      <c r="L71" s="237"/>
      <c r="M71" s="242">
        <v>0</v>
      </c>
      <c r="N71" s="238"/>
    </row>
    <row r="72" spans="3:14" x14ac:dyDescent="0.35">
      <c r="C72" s="239">
        <f t="shared" si="0"/>
        <v>34</v>
      </c>
      <c r="D72" s="243">
        <f>VResPlus!O39</f>
        <v>0</v>
      </c>
      <c r="E72" s="240">
        <f>VResPlus!P39</f>
        <v>0</v>
      </c>
      <c r="F72" s="236">
        <f>VResPlus!Q39</f>
        <v>0</v>
      </c>
      <c r="G72" s="236">
        <f>VResPlus!S39</f>
        <v>0</v>
      </c>
      <c r="H72" s="236">
        <f>VResPlus!U39</f>
        <v>0</v>
      </c>
      <c r="I72" s="236">
        <f>VResPlus!V39</f>
        <v>0</v>
      </c>
      <c r="J72" s="241">
        <f>VResPlus!W39</f>
        <v>0</v>
      </c>
      <c r="K72" s="236">
        <f>VResPlus!X39</f>
        <v>0</v>
      </c>
      <c r="L72" s="237"/>
      <c r="M72" s="242">
        <v>0</v>
      </c>
      <c r="N72" s="238"/>
    </row>
    <row r="73" spans="3:14" x14ac:dyDescent="0.35">
      <c r="C73" s="239">
        <f t="shared" si="0"/>
        <v>35</v>
      </c>
      <c r="D73" s="243">
        <f>VResPlus!O40</f>
        <v>0</v>
      </c>
      <c r="E73" s="240">
        <f>VResPlus!P40</f>
        <v>0</v>
      </c>
      <c r="F73" s="236">
        <f>VResPlus!Q40</f>
        <v>0</v>
      </c>
      <c r="G73" s="236">
        <f>VResPlus!S40</f>
        <v>0</v>
      </c>
      <c r="H73" s="236">
        <f>VResPlus!U40</f>
        <v>0</v>
      </c>
      <c r="I73" s="236">
        <f>VResPlus!V40</f>
        <v>0</v>
      </c>
      <c r="J73" s="241">
        <f>VResPlus!W40</f>
        <v>0</v>
      </c>
      <c r="K73" s="236">
        <f>VResPlus!X40</f>
        <v>0</v>
      </c>
      <c r="L73" s="237"/>
      <c r="M73" s="242">
        <v>0</v>
      </c>
      <c r="N73" s="238"/>
    </row>
    <row r="74" spans="3:14" x14ac:dyDescent="0.35">
      <c r="C74" s="381">
        <f t="shared" si="0"/>
        <v>36</v>
      </c>
      <c r="D74" s="382">
        <f>VResPlus!O41</f>
        <v>0</v>
      </c>
      <c r="E74" s="383">
        <f>VResPlus!P41</f>
        <v>0</v>
      </c>
      <c r="F74" s="384">
        <f>VResPlus!Q41</f>
        <v>0</v>
      </c>
      <c r="G74" s="384">
        <f>VResPlus!S41</f>
        <v>0</v>
      </c>
      <c r="H74" s="384">
        <f>VResPlus!U41</f>
        <v>0</v>
      </c>
      <c r="I74" s="384">
        <f>VResPlus!V41</f>
        <v>0</v>
      </c>
      <c r="J74" s="385">
        <f>VResPlus!W41</f>
        <v>0</v>
      </c>
      <c r="K74" s="384">
        <f>VResPlus!X41</f>
        <v>0</v>
      </c>
      <c r="L74" s="237"/>
      <c r="M74" s="386">
        <v>0</v>
      </c>
      <c r="N74" s="238"/>
    </row>
    <row r="75" spans="3:14" x14ac:dyDescent="0.35">
      <c r="C75" s="239">
        <f t="shared" si="0"/>
        <v>37</v>
      </c>
      <c r="D75" s="243">
        <f>VResPlus!O42</f>
        <v>0</v>
      </c>
      <c r="E75" s="240">
        <f>VResPlus!P42</f>
        <v>0</v>
      </c>
      <c r="F75" s="236">
        <f>VResPlus!Q42</f>
        <v>0</v>
      </c>
      <c r="G75" s="236">
        <f>VResPlus!S42</f>
        <v>0</v>
      </c>
      <c r="H75" s="236">
        <f>VResPlus!U42</f>
        <v>0</v>
      </c>
      <c r="I75" s="236">
        <f>VResPlus!V42</f>
        <v>0</v>
      </c>
      <c r="J75" s="241">
        <f>VResPlus!W42</f>
        <v>0</v>
      </c>
      <c r="K75" s="236">
        <f>VResPlus!X42</f>
        <v>0</v>
      </c>
      <c r="L75" s="237"/>
      <c r="M75" s="242">
        <v>0</v>
      </c>
      <c r="N75" s="238"/>
    </row>
    <row r="76" spans="3:14" x14ac:dyDescent="0.35">
      <c r="C76" s="239">
        <f t="shared" si="0"/>
        <v>38</v>
      </c>
      <c r="D76" s="243">
        <f>VResPlus!O43</f>
        <v>0</v>
      </c>
      <c r="E76" s="240">
        <f>VResPlus!P43</f>
        <v>0</v>
      </c>
      <c r="F76" s="236">
        <f>VResPlus!Q43</f>
        <v>0</v>
      </c>
      <c r="G76" s="236">
        <f>VResPlus!S43</f>
        <v>0</v>
      </c>
      <c r="H76" s="236">
        <f>VResPlus!U43</f>
        <v>0</v>
      </c>
      <c r="I76" s="236">
        <f>VResPlus!V43</f>
        <v>0</v>
      </c>
      <c r="J76" s="241">
        <f>VResPlus!W43</f>
        <v>0</v>
      </c>
      <c r="K76" s="236">
        <f>VResPlus!X43</f>
        <v>0</v>
      </c>
      <c r="L76" s="237"/>
      <c r="M76" s="242">
        <v>0</v>
      </c>
      <c r="N76" s="238"/>
    </row>
    <row r="77" spans="3:14" x14ac:dyDescent="0.35">
      <c r="C77" s="239">
        <f t="shared" si="0"/>
        <v>39</v>
      </c>
      <c r="D77" s="243">
        <f>VResPlus!O44</f>
        <v>0</v>
      </c>
      <c r="E77" s="240">
        <f>VResPlus!P44</f>
        <v>0</v>
      </c>
      <c r="F77" s="236">
        <f>VResPlus!Q44</f>
        <v>0</v>
      </c>
      <c r="G77" s="236">
        <f>VResPlus!S44</f>
        <v>0</v>
      </c>
      <c r="H77" s="236">
        <f>VResPlus!U44</f>
        <v>0</v>
      </c>
      <c r="I77" s="236">
        <f>VResPlus!V44</f>
        <v>0</v>
      </c>
      <c r="J77" s="241">
        <f>VResPlus!W44</f>
        <v>0</v>
      </c>
      <c r="K77" s="236">
        <f>VResPlus!X44</f>
        <v>0</v>
      </c>
      <c r="L77" s="237"/>
      <c r="M77" s="242">
        <v>0</v>
      </c>
      <c r="N77" s="238"/>
    </row>
    <row r="78" spans="3:14" x14ac:dyDescent="0.35">
      <c r="C78" s="239">
        <f t="shared" si="0"/>
        <v>40</v>
      </c>
      <c r="D78" s="243">
        <f>VResPlus!O45</f>
        <v>0</v>
      </c>
      <c r="E78" s="240">
        <f>VResPlus!P45</f>
        <v>0</v>
      </c>
      <c r="F78" s="236">
        <f>VResPlus!Q45</f>
        <v>0</v>
      </c>
      <c r="G78" s="236">
        <f>VResPlus!S45</f>
        <v>0</v>
      </c>
      <c r="H78" s="236">
        <f>VResPlus!U45</f>
        <v>0</v>
      </c>
      <c r="I78" s="236">
        <f>VResPlus!V45</f>
        <v>0</v>
      </c>
      <c r="J78" s="241">
        <f>VResPlus!W45</f>
        <v>0</v>
      </c>
      <c r="K78" s="236">
        <f>VResPlus!X45</f>
        <v>0</v>
      </c>
      <c r="L78" s="237"/>
      <c r="M78" s="242">
        <v>0</v>
      </c>
      <c r="N78" s="238"/>
    </row>
    <row r="79" spans="3:14" x14ac:dyDescent="0.35">
      <c r="C79" s="239">
        <f t="shared" si="0"/>
        <v>41</v>
      </c>
      <c r="D79" s="243">
        <f>VResPlus!O46</f>
        <v>0</v>
      </c>
      <c r="E79" s="240">
        <f>VResPlus!P46</f>
        <v>0</v>
      </c>
      <c r="F79" s="236">
        <f>VResPlus!Q46</f>
        <v>0</v>
      </c>
      <c r="G79" s="236">
        <f>VResPlus!S46</f>
        <v>0</v>
      </c>
      <c r="H79" s="236">
        <f>VResPlus!U46</f>
        <v>0</v>
      </c>
      <c r="I79" s="236">
        <f>VResPlus!V46</f>
        <v>0</v>
      </c>
      <c r="J79" s="241">
        <f>VResPlus!W46</f>
        <v>0</v>
      </c>
      <c r="K79" s="236">
        <f>VResPlus!X46</f>
        <v>0</v>
      </c>
      <c r="L79" s="237"/>
      <c r="M79" s="242">
        <v>0</v>
      </c>
      <c r="N79" s="238"/>
    </row>
    <row r="80" spans="3:14" x14ac:dyDescent="0.35">
      <c r="C80" s="239">
        <f t="shared" si="0"/>
        <v>42</v>
      </c>
      <c r="D80" s="243">
        <f>VResPlus!O47</f>
        <v>0</v>
      </c>
      <c r="E80" s="240">
        <f>VResPlus!P47</f>
        <v>0</v>
      </c>
      <c r="F80" s="236">
        <f>VResPlus!Q47</f>
        <v>0</v>
      </c>
      <c r="G80" s="236">
        <f>VResPlus!S47</f>
        <v>0</v>
      </c>
      <c r="H80" s="236">
        <f>VResPlus!U47</f>
        <v>0</v>
      </c>
      <c r="I80" s="236">
        <f>VResPlus!V47</f>
        <v>0</v>
      </c>
      <c r="J80" s="241">
        <f>VResPlus!W47</f>
        <v>0</v>
      </c>
      <c r="K80" s="236">
        <f>VResPlus!X47</f>
        <v>0</v>
      </c>
      <c r="L80" s="237"/>
      <c r="M80" s="242">
        <v>0</v>
      </c>
      <c r="N80" s="238"/>
    </row>
    <row r="81" spans="3:14" x14ac:dyDescent="0.35">
      <c r="C81" s="239">
        <f t="shared" si="0"/>
        <v>43</v>
      </c>
      <c r="D81" s="243">
        <f>VResPlus!O48</f>
        <v>0</v>
      </c>
      <c r="E81" s="240">
        <f>VResPlus!P48</f>
        <v>0</v>
      </c>
      <c r="F81" s="236">
        <f>VResPlus!Q48</f>
        <v>0</v>
      </c>
      <c r="G81" s="236">
        <f>VResPlus!S48</f>
        <v>0</v>
      </c>
      <c r="H81" s="236">
        <f>VResPlus!U48</f>
        <v>0</v>
      </c>
      <c r="I81" s="236">
        <f>VResPlus!V48</f>
        <v>0</v>
      </c>
      <c r="J81" s="241">
        <f>VResPlus!W48</f>
        <v>0</v>
      </c>
      <c r="K81" s="236">
        <f>VResPlus!X48</f>
        <v>0</v>
      </c>
      <c r="L81" s="237"/>
      <c r="M81" s="242">
        <v>0</v>
      </c>
      <c r="N81" s="238"/>
    </row>
    <row r="82" spans="3:14" x14ac:dyDescent="0.35">
      <c r="C82" s="239">
        <f t="shared" si="0"/>
        <v>44</v>
      </c>
      <c r="D82" s="243">
        <f>VResPlus!O49</f>
        <v>0</v>
      </c>
      <c r="E82" s="240">
        <f>VResPlus!P49</f>
        <v>0</v>
      </c>
      <c r="F82" s="236">
        <f>VResPlus!Q49</f>
        <v>0</v>
      </c>
      <c r="G82" s="236">
        <f>VResPlus!S49</f>
        <v>0</v>
      </c>
      <c r="H82" s="236">
        <f>VResPlus!U49</f>
        <v>0</v>
      </c>
      <c r="I82" s="236">
        <f>VResPlus!V49</f>
        <v>0</v>
      </c>
      <c r="J82" s="241">
        <f>VResPlus!W49</f>
        <v>0</v>
      </c>
      <c r="K82" s="236">
        <f>VResPlus!X49</f>
        <v>0</v>
      </c>
      <c r="L82" s="237"/>
      <c r="M82" s="242">
        <v>0</v>
      </c>
      <c r="N82" s="238"/>
    </row>
    <row r="83" spans="3:14" x14ac:dyDescent="0.35">
      <c r="C83" s="239">
        <f t="shared" si="0"/>
        <v>45</v>
      </c>
      <c r="D83" s="243">
        <f>VResPlus!O50</f>
        <v>0</v>
      </c>
      <c r="E83" s="240">
        <f>VResPlus!P50</f>
        <v>0</v>
      </c>
      <c r="F83" s="236">
        <f>VResPlus!Q50</f>
        <v>0</v>
      </c>
      <c r="G83" s="236">
        <f>VResPlus!S50</f>
        <v>0</v>
      </c>
      <c r="H83" s="236">
        <f>VResPlus!U50</f>
        <v>0</v>
      </c>
      <c r="I83" s="236">
        <f>VResPlus!V50</f>
        <v>0</v>
      </c>
      <c r="J83" s="241">
        <f>VResPlus!W50</f>
        <v>0</v>
      </c>
      <c r="K83" s="236">
        <f>VResPlus!X50</f>
        <v>0</v>
      </c>
      <c r="L83" s="237"/>
      <c r="M83" s="242">
        <v>0</v>
      </c>
      <c r="N83" s="238"/>
    </row>
    <row r="84" spans="3:14" x14ac:dyDescent="0.35">
      <c r="C84" s="239">
        <f t="shared" si="0"/>
        <v>46</v>
      </c>
      <c r="D84" s="243">
        <f>VResPlus!O51</f>
        <v>0</v>
      </c>
      <c r="E84" s="240">
        <f>VResPlus!P51</f>
        <v>0</v>
      </c>
      <c r="F84" s="236">
        <f>VResPlus!Q51</f>
        <v>0</v>
      </c>
      <c r="G84" s="236">
        <f>VResPlus!S51</f>
        <v>0</v>
      </c>
      <c r="H84" s="236">
        <f>VResPlus!U51</f>
        <v>0</v>
      </c>
      <c r="I84" s="236">
        <f>VResPlus!V51</f>
        <v>0</v>
      </c>
      <c r="J84" s="241">
        <f>VResPlus!W51</f>
        <v>0</v>
      </c>
      <c r="K84" s="236">
        <f>VResPlus!X51</f>
        <v>0</v>
      </c>
      <c r="L84" s="237"/>
      <c r="M84" s="242">
        <v>0</v>
      </c>
      <c r="N84" s="238"/>
    </row>
    <row r="85" spans="3:14" x14ac:dyDescent="0.35">
      <c r="C85" s="239">
        <f t="shared" si="0"/>
        <v>47</v>
      </c>
      <c r="D85" s="243">
        <f>VResPlus!O52</f>
        <v>0</v>
      </c>
      <c r="E85" s="240">
        <f>VResPlus!P52</f>
        <v>0</v>
      </c>
      <c r="F85" s="236">
        <f>VResPlus!Q52</f>
        <v>0</v>
      </c>
      <c r="G85" s="236">
        <f>VResPlus!S52</f>
        <v>0</v>
      </c>
      <c r="H85" s="236">
        <f>VResPlus!U52</f>
        <v>0</v>
      </c>
      <c r="I85" s="236">
        <f>VResPlus!V52</f>
        <v>0</v>
      </c>
      <c r="J85" s="241">
        <f>VResPlus!W52</f>
        <v>0</v>
      </c>
      <c r="K85" s="236">
        <f>VResPlus!X52</f>
        <v>0</v>
      </c>
      <c r="L85" s="237"/>
      <c r="M85" s="242">
        <v>0</v>
      </c>
      <c r="N85" s="238"/>
    </row>
    <row r="86" spans="3:14" x14ac:dyDescent="0.35">
      <c r="C86" s="381">
        <f t="shared" si="0"/>
        <v>48</v>
      </c>
      <c r="D86" s="382">
        <f>VResPlus!O53</f>
        <v>0</v>
      </c>
      <c r="E86" s="383">
        <f>VResPlus!P53</f>
        <v>0</v>
      </c>
      <c r="F86" s="384">
        <f>VResPlus!Q53</f>
        <v>0</v>
      </c>
      <c r="G86" s="384">
        <f>VResPlus!S53</f>
        <v>0</v>
      </c>
      <c r="H86" s="384">
        <f>VResPlus!U53</f>
        <v>0</v>
      </c>
      <c r="I86" s="384">
        <f>VResPlus!V53</f>
        <v>0</v>
      </c>
      <c r="J86" s="385">
        <f>VResPlus!W53</f>
        <v>0</v>
      </c>
      <c r="K86" s="384">
        <f>VResPlus!X53</f>
        <v>0</v>
      </c>
      <c r="L86" s="237"/>
      <c r="M86" s="386">
        <v>0</v>
      </c>
      <c r="N86" s="238"/>
    </row>
    <row r="87" spans="3:14" x14ac:dyDescent="0.35">
      <c r="C87" s="239">
        <f t="shared" si="0"/>
        <v>49</v>
      </c>
      <c r="D87" s="243">
        <f>VResPlus!O54</f>
        <v>0</v>
      </c>
      <c r="E87" s="240">
        <f>VResPlus!P54</f>
        <v>0</v>
      </c>
      <c r="F87" s="236">
        <f>VResPlus!Q54</f>
        <v>0</v>
      </c>
      <c r="G87" s="236">
        <f>VResPlus!S54</f>
        <v>0</v>
      </c>
      <c r="H87" s="236">
        <f>VResPlus!U54</f>
        <v>0</v>
      </c>
      <c r="I87" s="236">
        <f>VResPlus!V54</f>
        <v>0</v>
      </c>
      <c r="J87" s="241">
        <f>VResPlus!W54</f>
        <v>0</v>
      </c>
      <c r="K87" s="236">
        <f>VResPlus!X54</f>
        <v>0</v>
      </c>
      <c r="L87" s="237"/>
      <c r="M87" s="242">
        <v>0</v>
      </c>
      <c r="N87" s="238"/>
    </row>
    <row r="88" spans="3:14" x14ac:dyDescent="0.35">
      <c r="C88" s="239">
        <f t="shared" si="0"/>
        <v>50</v>
      </c>
      <c r="D88" s="243">
        <f>VResPlus!O55</f>
        <v>0</v>
      </c>
      <c r="E88" s="240">
        <f>VResPlus!P55</f>
        <v>0</v>
      </c>
      <c r="F88" s="236">
        <f>VResPlus!Q55</f>
        <v>0</v>
      </c>
      <c r="G88" s="236">
        <f>VResPlus!S55</f>
        <v>0</v>
      </c>
      <c r="H88" s="236">
        <f>VResPlus!U55</f>
        <v>0</v>
      </c>
      <c r="I88" s="236">
        <f>VResPlus!V55</f>
        <v>0</v>
      </c>
      <c r="J88" s="241">
        <f>VResPlus!W55</f>
        <v>0</v>
      </c>
      <c r="K88" s="236">
        <f>VResPlus!X55</f>
        <v>0</v>
      </c>
      <c r="L88" s="237"/>
      <c r="M88" s="242">
        <v>0</v>
      </c>
      <c r="N88" s="238"/>
    </row>
    <row r="89" spans="3:14" x14ac:dyDescent="0.35">
      <c r="C89" s="239">
        <f t="shared" si="0"/>
        <v>51</v>
      </c>
      <c r="D89" s="243">
        <f>VResPlus!O56</f>
        <v>0</v>
      </c>
      <c r="E89" s="240">
        <f>VResPlus!P56</f>
        <v>0</v>
      </c>
      <c r="F89" s="236">
        <f>VResPlus!Q56</f>
        <v>0</v>
      </c>
      <c r="G89" s="236">
        <f>VResPlus!S56</f>
        <v>0</v>
      </c>
      <c r="H89" s="236">
        <f>VResPlus!U56</f>
        <v>0</v>
      </c>
      <c r="I89" s="236">
        <f>VResPlus!V56</f>
        <v>0</v>
      </c>
      <c r="J89" s="241">
        <f>VResPlus!W56</f>
        <v>0</v>
      </c>
      <c r="K89" s="236">
        <f>VResPlus!X56</f>
        <v>0</v>
      </c>
      <c r="L89" s="237"/>
      <c r="M89" s="242">
        <v>0</v>
      </c>
      <c r="N89" s="238"/>
    </row>
    <row r="90" spans="3:14" x14ac:dyDescent="0.35">
      <c r="C90" s="239">
        <f t="shared" si="0"/>
        <v>52</v>
      </c>
      <c r="D90" s="243">
        <f>VResPlus!O57</f>
        <v>0</v>
      </c>
      <c r="E90" s="240">
        <f>VResPlus!P57</f>
        <v>0</v>
      </c>
      <c r="F90" s="236">
        <f>VResPlus!Q57</f>
        <v>0</v>
      </c>
      <c r="G90" s="236">
        <f>VResPlus!S57</f>
        <v>0</v>
      </c>
      <c r="H90" s="236">
        <f>VResPlus!U57</f>
        <v>0</v>
      </c>
      <c r="I90" s="236">
        <f>VResPlus!V57</f>
        <v>0</v>
      </c>
      <c r="J90" s="241">
        <f>VResPlus!W57</f>
        <v>0</v>
      </c>
      <c r="K90" s="236">
        <f>VResPlus!X57</f>
        <v>0</v>
      </c>
      <c r="L90" s="237"/>
      <c r="M90" s="242">
        <v>0</v>
      </c>
      <c r="N90" s="238"/>
    </row>
    <row r="91" spans="3:14" x14ac:dyDescent="0.35">
      <c r="C91" s="239">
        <f t="shared" si="0"/>
        <v>53</v>
      </c>
      <c r="D91" s="243">
        <f>VResPlus!O58</f>
        <v>0</v>
      </c>
      <c r="E91" s="240">
        <f>VResPlus!P58</f>
        <v>0</v>
      </c>
      <c r="F91" s="236">
        <f>VResPlus!Q58</f>
        <v>0</v>
      </c>
      <c r="G91" s="236">
        <f>VResPlus!S58</f>
        <v>0</v>
      </c>
      <c r="H91" s="236">
        <f>VResPlus!U58</f>
        <v>0</v>
      </c>
      <c r="I91" s="236">
        <f>VResPlus!V58</f>
        <v>0</v>
      </c>
      <c r="J91" s="241">
        <f>VResPlus!W58</f>
        <v>0</v>
      </c>
      <c r="K91" s="236">
        <f>VResPlus!X58</f>
        <v>0</v>
      </c>
      <c r="L91" s="237"/>
      <c r="M91" s="242">
        <v>0</v>
      </c>
      <c r="N91" s="238"/>
    </row>
    <row r="92" spans="3:14" x14ac:dyDescent="0.35">
      <c r="C92" s="239">
        <f t="shared" si="0"/>
        <v>54</v>
      </c>
      <c r="D92" s="243">
        <f>VResPlus!O59</f>
        <v>0</v>
      </c>
      <c r="E92" s="240">
        <f>VResPlus!P59</f>
        <v>0</v>
      </c>
      <c r="F92" s="236">
        <f>VResPlus!Q59</f>
        <v>0</v>
      </c>
      <c r="G92" s="236">
        <f>VResPlus!S59</f>
        <v>0</v>
      </c>
      <c r="H92" s="236">
        <f>VResPlus!U59</f>
        <v>0</v>
      </c>
      <c r="I92" s="236">
        <f>VResPlus!V59</f>
        <v>0</v>
      </c>
      <c r="J92" s="241">
        <f>VResPlus!W59</f>
        <v>0</v>
      </c>
      <c r="K92" s="236">
        <f>VResPlus!X59</f>
        <v>0</v>
      </c>
      <c r="L92" s="237"/>
      <c r="M92" s="242">
        <v>0</v>
      </c>
      <c r="N92" s="238"/>
    </row>
    <row r="93" spans="3:14" x14ac:dyDescent="0.35">
      <c r="C93" s="239">
        <f t="shared" si="0"/>
        <v>55</v>
      </c>
      <c r="D93" s="243">
        <f>VResPlus!O60</f>
        <v>0</v>
      </c>
      <c r="E93" s="240">
        <f>VResPlus!P60</f>
        <v>0</v>
      </c>
      <c r="F93" s="236">
        <f>VResPlus!Q60</f>
        <v>0</v>
      </c>
      <c r="G93" s="236">
        <f>VResPlus!S60</f>
        <v>0</v>
      </c>
      <c r="H93" s="236">
        <f>VResPlus!U60</f>
        <v>0</v>
      </c>
      <c r="I93" s="236">
        <f>VResPlus!V60</f>
        <v>0</v>
      </c>
      <c r="J93" s="241">
        <f>VResPlus!W60</f>
        <v>0</v>
      </c>
      <c r="K93" s="236">
        <f>VResPlus!X60</f>
        <v>0</v>
      </c>
      <c r="L93" s="237"/>
      <c r="M93" s="242">
        <v>0</v>
      </c>
      <c r="N93" s="238"/>
    </row>
    <row r="94" spans="3:14" x14ac:dyDescent="0.35">
      <c r="C94" s="239">
        <f t="shared" si="0"/>
        <v>56</v>
      </c>
      <c r="D94" s="243">
        <f>VResPlus!O61</f>
        <v>0</v>
      </c>
      <c r="E94" s="240">
        <f>VResPlus!P61</f>
        <v>0</v>
      </c>
      <c r="F94" s="236">
        <f>VResPlus!Q61</f>
        <v>0</v>
      </c>
      <c r="G94" s="236">
        <f>VResPlus!S61</f>
        <v>0</v>
      </c>
      <c r="H94" s="236">
        <f>VResPlus!U61</f>
        <v>0</v>
      </c>
      <c r="I94" s="236">
        <f>VResPlus!V61</f>
        <v>0</v>
      </c>
      <c r="J94" s="241">
        <f>VResPlus!W61</f>
        <v>0</v>
      </c>
      <c r="K94" s="236">
        <f>VResPlus!X61</f>
        <v>0</v>
      </c>
      <c r="L94" s="237"/>
      <c r="M94" s="242">
        <v>0</v>
      </c>
      <c r="N94" s="238"/>
    </row>
    <row r="95" spans="3:14" x14ac:dyDescent="0.35">
      <c r="C95" s="239">
        <f t="shared" si="0"/>
        <v>57</v>
      </c>
      <c r="D95" s="243">
        <f>VResPlus!O62</f>
        <v>0</v>
      </c>
      <c r="E95" s="240">
        <f>VResPlus!P62</f>
        <v>0</v>
      </c>
      <c r="F95" s="236">
        <f>VResPlus!Q62</f>
        <v>0</v>
      </c>
      <c r="G95" s="236">
        <f>VResPlus!S62</f>
        <v>0</v>
      </c>
      <c r="H95" s="236">
        <f>VResPlus!U62</f>
        <v>0</v>
      </c>
      <c r="I95" s="236">
        <f>VResPlus!V62</f>
        <v>0</v>
      </c>
      <c r="J95" s="241">
        <f>VResPlus!W62</f>
        <v>0</v>
      </c>
      <c r="K95" s="236">
        <f>VResPlus!X62</f>
        <v>0</v>
      </c>
      <c r="L95" s="237"/>
      <c r="M95" s="242">
        <v>0</v>
      </c>
      <c r="N95" s="238"/>
    </row>
    <row r="96" spans="3:14" x14ac:dyDescent="0.35">
      <c r="C96" s="239">
        <f t="shared" si="0"/>
        <v>58</v>
      </c>
      <c r="D96" s="243">
        <f>VResPlus!O63</f>
        <v>0</v>
      </c>
      <c r="E96" s="240">
        <f>VResPlus!P63</f>
        <v>0</v>
      </c>
      <c r="F96" s="236">
        <f>VResPlus!Q63</f>
        <v>0</v>
      </c>
      <c r="G96" s="236">
        <f>VResPlus!S63</f>
        <v>0</v>
      </c>
      <c r="H96" s="236">
        <f>VResPlus!U63</f>
        <v>0</v>
      </c>
      <c r="I96" s="236">
        <f>VResPlus!V63</f>
        <v>0</v>
      </c>
      <c r="J96" s="241">
        <f>VResPlus!W63</f>
        <v>0</v>
      </c>
      <c r="K96" s="236">
        <f>VResPlus!X63</f>
        <v>0</v>
      </c>
      <c r="L96" s="237"/>
      <c r="M96" s="242">
        <v>0</v>
      </c>
      <c r="N96" s="238"/>
    </row>
    <row r="97" spans="3:14" x14ac:dyDescent="0.35">
      <c r="C97" s="244">
        <f t="shared" si="0"/>
        <v>59</v>
      </c>
      <c r="D97" s="245">
        <f>VResPlus!O64</f>
        <v>0</v>
      </c>
      <c r="E97" s="246">
        <f>VResPlus!P64</f>
        <v>0</v>
      </c>
      <c r="F97" s="247">
        <f>VResPlus!Q64</f>
        <v>0</v>
      </c>
      <c r="G97" s="247">
        <f>VResPlus!S64</f>
        <v>0</v>
      </c>
      <c r="H97" s="247">
        <f>VResPlus!U64</f>
        <v>0</v>
      </c>
      <c r="I97" s="247">
        <f>VResPlus!V64</f>
        <v>0</v>
      </c>
      <c r="J97" s="241">
        <f>VResPlus!W64</f>
        <v>0</v>
      </c>
      <c r="K97" s="247">
        <f>VResPlus!X64</f>
        <v>0</v>
      </c>
      <c r="L97" s="237"/>
      <c r="M97" s="242">
        <v>0</v>
      </c>
      <c r="N97" s="238"/>
    </row>
    <row r="98" spans="3:14" x14ac:dyDescent="0.35">
      <c r="C98" s="381">
        <f t="shared" si="0"/>
        <v>60</v>
      </c>
      <c r="D98" s="382">
        <f>VResPlus!O65</f>
        <v>0</v>
      </c>
      <c r="E98" s="383">
        <f>VResPlus!P65</f>
        <v>0</v>
      </c>
      <c r="F98" s="384">
        <f>VResPlus!Q65</f>
        <v>0</v>
      </c>
      <c r="G98" s="384">
        <f>VResPlus!S65</f>
        <v>0</v>
      </c>
      <c r="H98" s="384">
        <f>VResPlus!U65</f>
        <v>0</v>
      </c>
      <c r="I98" s="384">
        <f>VResPlus!V65</f>
        <v>0</v>
      </c>
      <c r="J98" s="385">
        <f>VResPlus!W65</f>
        <v>0</v>
      </c>
      <c r="K98" s="384">
        <f>VResPlus!X65</f>
        <v>0</v>
      </c>
      <c r="L98" s="237"/>
      <c r="M98" s="386">
        <v>0</v>
      </c>
      <c r="N98" s="238"/>
    </row>
    <row r="99" spans="3:14" x14ac:dyDescent="0.35">
      <c r="C99" s="248">
        <f t="shared" si="0"/>
        <v>61</v>
      </c>
      <c r="D99" s="249">
        <f>VResPlus!O66</f>
        <v>0</v>
      </c>
      <c r="E99" s="250">
        <f>VResPlus!P66</f>
        <v>0</v>
      </c>
      <c r="F99" s="251">
        <f>VResPlus!Q66</f>
        <v>0</v>
      </c>
      <c r="G99" s="251">
        <f>VResPlus!S66</f>
        <v>0</v>
      </c>
      <c r="H99" s="251">
        <f>VResPlus!U66</f>
        <v>0</v>
      </c>
      <c r="I99" s="251">
        <f>VResPlus!V66</f>
        <v>0</v>
      </c>
      <c r="J99" s="241">
        <f>VResPlus!W66</f>
        <v>0</v>
      </c>
      <c r="K99" s="251">
        <f>VResPlus!X66</f>
        <v>0</v>
      </c>
      <c r="L99" s="237"/>
      <c r="M99" s="242">
        <v>0</v>
      </c>
      <c r="N99" s="238"/>
    </row>
    <row r="100" spans="3:14" x14ac:dyDescent="0.35">
      <c r="C100" s="239">
        <f t="shared" si="0"/>
        <v>62</v>
      </c>
      <c r="D100" s="243">
        <f>VResPlus!O67</f>
        <v>0</v>
      </c>
      <c r="E100" s="240">
        <f>VResPlus!P67</f>
        <v>0</v>
      </c>
      <c r="F100" s="236">
        <f>VResPlus!Q67</f>
        <v>0</v>
      </c>
      <c r="G100" s="236">
        <f>VResPlus!S67</f>
        <v>0</v>
      </c>
      <c r="H100" s="236">
        <f>VResPlus!U67</f>
        <v>0</v>
      </c>
      <c r="I100" s="236">
        <f>VResPlus!V67</f>
        <v>0</v>
      </c>
      <c r="J100" s="241">
        <f>VResPlus!W67</f>
        <v>0</v>
      </c>
      <c r="K100" s="236">
        <f>VResPlus!X67</f>
        <v>0</v>
      </c>
      <c r="L100" s="237"/>
      <c r="M100" s="242">
        <v>0</v>
      </c>
      <c r="N100" s="238"/>
    </row>
    <row r="101" spans="3:14" x14ac:dyDescent="0.35">
      <c r="C101" s="239">
        <f t="shared" si="0"/>
        <v>63</v>
      </c>
      <c r="D101" s="243">
        <f>VResPlus!O68</f>
        <v>0</v>
      </c>
      <c r="E101" s="240">
        <f>VResPlus!P68</f>
        <v>0</v>
      </c>
      <c r="F101" s="236">
        <f>VResPlus!Q68</f>
        <v>0</v>
      </c>
      <c r="G101" s="236">
        <f>VResPlus!S68</f>
        <v>0</v>
      </c>
      <c r="H101" s="236">
        <f>VResPlus!U68</f>
        <v>0</v>
      </c>
      <c r="I101" s="236">
        <f>VResPlus!V68</f>
        <v>0</v>
      </c>
      <c r="J101" s="241">
        <f>VResPlus!W68</f>
        <v>0</v>
      </c>
      <c r="K101" s="236">
        <f>VResPlus!X68</f>
        <v>0</v>
      </c>
      <c r="L101" s="237"/>
      <c r="M101" s="242">
        <v>0</v>
      </c>
      <c r="N101" s="238"/>
    </row>
    <row r="102" spans="3:14" x14ac:dyDescent="0.35">
      <c r="C102" s="239">
        <f t="shared" si="0"/>
        <v>64</v>
      </c>
      <c r="D102" s="243">
        <f>VResPlus!O69</f>
        <v>0</v>
      </c>
      <c r="E102" s="240">
        <f>VResPlus!P69</f>
        <v>0</v>
      </c>
      <c r="F102" s="236">
        <f>VResPlus!Q69</f>
        <v>0</v>
      </c>
      <c r="G102" s="236">
        <f>VResPlus!S69</f>
        <v>0</v>
      </c>
      <c r="H102" s="236">
        <f>VResPlus!U69</f>
        <v>0</v>
      </c>
      <c r="I102" s="236">
        <f>VResPlus!V69</f>
        <v>0</v>
      </c>
      <c r="J102" s="241">
        <f>VResPlus!W69</f>
        <v>0</v>
      </c>
      <c r="K102" s="236">
        <f>VResPlus!X69</f>
        <v>0</v>
      </c>
      <c r="L102" s="237"/>
      <c r="M102" s="242">
        <v>0</v>
      </c>
      <c r="N102" s="238"/>
    </row>
    <row r="103" spans="3:14" x14ac:dyDescent="0.35">
      <c r="C103" s="239">
        <f t="shared" si="0"/>
        <v>65</v>
      </c>
      <c r="D103" s="243">
        <f>VResPlus!O70</f>
        <v>0</v>
      </c>
      <c r="E103" s="240">
        <f>VResPlus!P70</f>
        <v>0</v>
      </c>
      <c r="F103" s="236">
        <f>VResPlus!Q70</f>
        <v>0</v>
      </c>
      <c r="G103" s="236">
        <f>VResPlus!S70</f>
        <v>0</v>
      </c>
      <c r="H103" s="236">
        <f>VResPlus!U70</f>
        <v>0</v>
      </c>
      <c r="I103" s="236">
        <f>VResPlus!V70</f>
        <v>0</v>
      </c>
      <c r="J103" s="241">
        <f>VResPlus!W70</f>
        <v>0</v>
      </c>
      <c r="K103" s="236">
        <f>VResPlus!X70</f>
        <v>0</v>
      </c>
      <c r="L103" s="237"/>
      <c r="M103" s="242">
        <v>0</v>
      </c>
      <c r="N103" s="238"/>
    </row>
    <row r="104" spans="3:14" x14ac:dyDescent="0.35">
      <c r="C104" s="239">
        <f t="shared" si="0"/>
        <v>66</v>
      </c>
      <c r="D104" s="243">
        <f>VResPlus!O71</f>
        <v>0</v>
      </c>
      <c r="E104" s="240">
        <f>VResPlus!P71</f>
        <v>0</v>
      </c>
      <c r="F104" s="236">
        <f>VResPlus!Q71</f>
        <v>0</v>
      </c>
      <c r="G104" s="236">
        <f>VResPlus!S71</f>
        <v>0</v>
      </c>
      <c r="H104" s="236">
        <f>VResPlus!U71</f>
        <v>0</v>
      </c>
      <c r="I104" s="236">
        <f>VResPlus!V71</f>
        <v>0</v>
      </c>
      <c r="J104" s="241">
        <f>VResPlus!W71</f>
        <v>0</v>
      </c>
      <c r="K104" s="236">
        <f>VResPlus!X71</f>
        <v>0</v>
      </c>
      <c r="L104" s="237"/>
      <c r="M104" s="242">
        <v>0</v>
      </c>
      <c r="N104" s="238"/>
    </row>
    <row r="105" spans="3:14" x14ac:dyDescent="0.35">
      <c r="C105" s="239">
        <f t="shared" ref="C105:C168" si="1">C104+1</f>
        <v>67</v>
      </c>
      <c r="D105" s="243">
        <f>VResPlus!O72</f>
        <v>0</v>
      </c>
      <c r="E105" s="240">
        <f>VResPlus!P72</f>
        <v>0</v>
      </c>
      <c r="F105" s="236">
        <f>VResPlus!Q72</f>
        <v>0</v>
      </c>
      <c r="G105" s="236">
        <f>VResPlus!S72</f>
        <v>0</v>
      </c>
      <c r="H105" s="236">
        <f>VResPlus!U72</f>
        <v>0</v>
      </c>
      <c r="I105" s="236">
        <f>VResPlus!V72</f>
        <v>0</v>
      </c>
      <c r="J105" s="241">
        <f>VResPlus!W72</f>
        <v>0</v>
      </c>
      <c r="K105" s="236">
        <f>VResPlus!X72</f>
        <v>0</v>
      </c>
      <c r="L105" s="237"/>
      <c r="M105" s="242">
        <v>0</v>
      </c>
      <c r="N105" s="238"/>
    </row>
    <row r="106" spans="3:14" x14ac:dyDescent="0.35">
      <c r="C106" s="239">
        <f t="shared" si="1"/>
        <v>68</v>
      </c>
      <c r="D106" s="243">
        <f>VResPlus!O73</f>
        <v>0</v>
      </c>
      <c r="E106" s="240">
        <f>VResPlus!P73</f>
        <v>0</v>
      </c>
      <c r="F106" s="236">
        <f>VResPlus!Q73</f>
        <v>0</v>
      </c>
      <c r="G106" s="236">
        <f>VResPlus!S73</f>
        <v>0</v>
      </c>
      <c r="H106" s="236">
        <f>VResPlus!U73</f>
        <v>0</v>
      </c>
      <c r="I106" s="236">
        <f>VResPlus!V73</f>
        <v>0</v>
      </c>
      <c r="J106" s="241">
        <f>VResPlus!W73</f>
        <v>0</v>
      </c>
      <c r="K106" s="236">
        <f>VResPlus!X73</f>
        <v>0</v>
      </c>
      <c r="L106" s="237"/>
      <c r="M106" s="242">
        <v>0</v>
      </c>
      <c r="N106" s="238"/>
    </row>
    <row r="107" spans="3:14" x14ac:dyDescent="0.35">
      <c r="C107" s="239">
        <f t="shared" si="1"/>
        <v>69</v>
      </c>
      <c r="D107" s="243">
        <f>VResPlus!O74</f>
        <v>0</v>
      </c>
      <c r="E107" s="240">
        <f>VResPlus!P74</f>
        <v>0</v>
      </c>
      <c r="F107" s="236">
        <f>VResPlus!Q74</f>
        <v>0</v>
      </c>
      <c r="G107" s="236">
        <f>VResPlus!S74</f>
        <v>0</v>
      </c>
      <c r="H107" s="236">
        <f>VResPlus!U74</f>
        <v>0</v>
      </c>
      <c r="I107" s="236">
        <f>VResPlus!V74</f>
        <v>0</v>
      </c>
      <c r="J107" s="241">
        <f>VResPlus!W74</f>
        <v>0</v>
      </c>
      <c r="K107" s="236">
        <f>VResPlus!X74</f>
        <v>0</v>
      </c>
      <c r="L107" s="237"/>
      <c r="M107" s="242">
        <v>0</v>
      </c>
      <c r="N107" s="238"/>
    </row>
    <row r="108" spans="3:14" x14ac:dyDescent="0.35">
      <c r="C108" s="239">
        <f t="shared" si="1"/>
        <v>70</v>
      </c>
      <c r="D108" s="243">
        <f>VResPlus!O75</f>
        <v>0</v>
      </c>
      <c r="E108" s="240">
        <f>VResPlus!P75</f>
        <v>0</v>
      </c>
      <c r="F108" s="236">
        <f>VResPlus!Q75</f>
        <v>0</v>
      </c>
      <c r="G108" s="236">
        <f>VResPlus!S75</f>
        <v>0</v>
      </c>
      <c r="H108" s="236">
        <f>VResPlus!U75</f>
        <v>0</v>
      </c>
      <c r="I108" s="236">
        <f>VResPlus!V75</f>
        <v>0</v>
      </c>
      <c r="J108" s="241">
        <f>VResPlus!W75</f>
        <v>0</v>
      </c>
      <c r="K108" s="236">
        <f>VResPlus!X75</f>
        <v>0</v>
      </c>
      <c r="L108" s="237"/>
      <c r="M108" s="242">
        <v>0</v>
      </c>
      <c r="N108" s="238"/>
    </row>
    <row r="109" spans="3:14" x14ac:dyDescent="0.35">
      <c r="C109" s="239">
        <f t="shared" si="1"/>
        <v>71</v>
      </c>
      <c r="D109" s="243">
        <f>VResPlus!O76</f>
        <v>0</v>
      </c>
      <c r="E109" s="240">
        <f>VResPlus!P76</f>
        <v>0</v>
      </c>
      <c r="F109" s="236">
        <f>VResPlus!Q76</f>
        <v>0</v>
      </c>
      <c r="G109" s="236">
        <f>VResPlus!S76</f>
        <v>0</v>
      </c>
      <c r="H109" s="236">
        <f>VResPlus!U76</f>
        <v>0</v>
      </c>
      <c r="I109" s="236">
        <f>VResPlus!V76</f>
        <v>0</v>
      </c>
      <c r="J109" s="241">
        <f>VResPlus!W76</f>
        <v>0</v>
      </c>
      <c r="K109" s="236">
        <f>VResPlus!X76</f>
        <v>0</v>
      </c>
      <c r="L109" s="237"/>
      <c r="M109" s="242">
        <v>0</v>
      </c>
      <c r="N109" s="238"/>
    </row>
    <row r="110" spans="3:14" x14ac:dyDescent="0.35">
      <c r="C110" s="381">
        <f t="shared" si="1"/>
        <v>72</v>
      </c>
      <c r="D110" s="382">
        <f>VResPlus!O77</f>
        <v>0</v>
      </c>
      <c r="E110" s="383">
        <f>VResPlus!P77</f>
        <v>0</v>
      </c>
      <c r="F110" s="384">
        <f>VResPlus!Q77</f>
        <v>0</v>
      </c>
      <c r="G110" s="384">
        <f>VResPlus!S77</f>
        <v>0</v>
      </c>
      <c r="H110" s="384">
        <f>VResPlus!U77</f>
        <v>0</v>
      </c>
      <c r="I110" s="384">
        <f>VResPlus!V77</f>
        <v>0</v>
      </c>
      <c r="J110" s="385">
        <f>VResPlus!W77</f>
        <v>0</v>
      </c>
      <c r="K110" s="384">
        <f>VResPlus!X77</f>
        <v>0</v>
      </c>
      <c r="L110" s="237"/>
      <c r="M110" s="386">
        <v>0</v>
      </c>
      <c r="N110" s="238"/>
    </row>
    <row r="111" spans="3:14" x14ac:dyDescent="0.35">
      <c r="C111" s="239">
        <f t="shared" si="1"/>
        <v>73</v>
      </c>
      <c r="D111" s="243">
        <f>VResPlus!O78</f>
        <v>0</v>
      </c>
      <c r="E111" s="240">
        <f>VResPlus!P78</f>
        <v>0</v>
      </c>
      <c r="F111" s="236">
        <f>VResPlus!Q78</f>
        <v>0</v>
      </c>
      <c r="G111" s="236">
        <f>VResPlus!S78</f>
        <v>0</v>
      </c>
      <c r="H111" s="236">
        <f>VResPlus!U78</f>
        <v>0</v>
      </c>
      <c r="I111" s="236">
        <f>VResPlus!V78</f>
        <v>0</v>
      </c>
      <c r="J111" s="241">
        <f>VResPlus!W78</f>
        <v>0</v>
      </c>
      <c r="K111" s="236">
        <f>VResPlus!X78</f>
        <v>0</v>
      </c>
      <c r="L111" s="237"/>
      <c r="M111" s="242">
        <v>0</v>
      </c>
      <c r="N111" s="238"/>
    </row>
    <row r="112" spans="3:14" x14ac:dyDescent="0.35">
      <c r="C112" s="239">
        <f t="shared" si="1"/>
        <v>74</v>
      </c>
      <c r="D112" s="243">
        <f>VResPlus!O79</f>
        <v>0</v>
      </c>
      <c r="E112" s="240">
        <f>VResPlus!P79</f>
        <v>0</v>
      </c>
      <c r="F112" s="236">
        <f>VResPlus!Q79</f>
        <v>0</v>
      </c>
      <c r="G112" s="236">
        <f>VResPlus!S79</f>
        <v>0</v>
      </c>
      <c r="H112" s="236">
        <f>VResPlus!U79</f>
        <v>0</v>
      </c>
      <c r="I112" s="236">
        <f>VResPlus!V79</f>
        <v>0</v>
      </c>
      <c r="J112" s="241">
        <f>VResPlus!W79</f>
        <v>0</v>
      </c>
      <c r="K112" s="236">
        <f>VResPlus!X79</f>
        <v>0</v>
      </c>
      <c r="L112" s="237"/>
      <c r="M112" s="242">
        <v>0</v>
      </c>
      <c r="N112" s="238"/>
    </row>
    <row r="113" spans="3:14" x14ac:dyDescent="0.35">
      <c r="C113" s="239">
        <f t="shared" si="1"/>
        <v>75</v>
      </c>
      <c r="D113" s="243">
        <f>VResPlus!O80</f>
        <v>0</v>
      </c>
      <c r="E113" s="240">
        <f>VResPlus!P80</f>
        <v>0</v>
      </c>
      <c r="F113" s="236">
        <f>VResPlus!Q80</f>
        <v>0</v>
      </c>
      <c r="G113" s="236">
        <f>VResPlus!S80</f>
        <v>0</v>
      </c>
      <c r="H113" s="236">
        <f>VResPlus!U80</f>
        <v>0</v>
      </c>
      <c r="I113" s="236">
        <f>VResPlus!V80</f>
        <v>0</v>
      </c>
      <c r="J113" s="241">
        <f>VResPlus!W80</f>
        <v>0</v>
      </c>
      <c r="K113" s="236">
        <f>VResPlus!X80</f>
        <v>0</v>
      </c>
      <c r="L113" s="237"/>
      <c r="M113" s="242">
        <v>0</v>
      </c>
      <c r="N113" s="238"/>
    </row>
    <row r="114" spans="3:14" x14ac:dyDescent="0.35">
      <c r="C114" s="239">
        <f t="shared" si="1"/>
        <v>76</v>
      </c>
      <c r="D114" s="243">
        <f>VResPlus!O81</f>
        <v>0</v>
      </c>
      <c r="E114" s="240">
        <f>VResPlus!P81</f>
        <v>0</v>
      </c>
      <c r="F114" s="236">
        <f>VResPlus!Q81</f>
        <v>0</v>
      </c>
      <c r="G114" s="236">
        <f>VResPlus!S81</f>
        <v>0</v>
      </c>
      <c r="H114" s="236">
        <f>VResPlus!U81</f>
        <v>0</v>
      </c>
      <c r="I114" s="236">
        <f>VResPlus!V81</f>
        <v>0</v>
      </c>
      <c r="J114" s="241">
        <f>VResPlus!W81</f>
        <v>0</v>
      </c>
      <c r="K114" s="236">
        <f>VResPlus!X81</f>
        <v>0</v>
      </c>
      <c r="L114" s="237"/>
      <c r="M114" s="242">
        <v>0</v>
      </c>
      <c r="N114" s="238"/>
    </row>
    <row r="115" spans="3:14" x14ac:dyDescent="0.35">
      <c r="C115" s="239">
        <f t="shared" si="1"/>
        <v>77</v>
      </c>
      <c r="D115" s="243">
        <f>VResPlus!O82</f>
        <v>0</v>
      </c>
      <c r="E115" s="240">
        <f>VResPlus!P82</f>
        <v>0</v>
      </c>
      <c r="F115" s="236">
        <f>VResPlus!Q82</f>
        <v>0</v>
      </c>
      <c r="G115" s="236">
        <f>VResPlus!S82</f>
        <v>0</v>
      </c>
      <c r="H115" s="236">
        <f>VResPlus!U82</f>
        <v>0</v>
      </c>
      <c r="I115" s="236">
        <f>VResPlus!V82</f>
        <v>0</v>
      </c>
      <c r="J115" s="241">
        <f>VResPlus!W82</f>
        <v>0</v>
      </c>
      <c r="K115" s="236">
        <f>VResPlus!X82</f>
        <v>0</v>
      </c>
      <c r="L115" s="237"/>
      <c r="M115" s="242">
        <v>0</v>
      </c>
      <c r="N115" s="238"/>
    </row>
    <row r="116" spans="3:14" x14ac:dyDescent="0.35">
      <c r="C116" s="239">
        <f t="shared" si="1"/>
        <v>78</v>
      </c>
      <c r="D116" s="243">
        <f>VResPlus!O83</f>
        <v>0</v>
      </c>
      <c r="E116" s="240">
        <f>VResPlus!P83</f>
        <v>0</v>
      </c>
      <c r="F116" s="236">
        <f>VResPlus!Q83</f>
        <v>0</v>
      </c>
      <c r="G116" s="236">
        <f>VResPlus!S83</f>
        <v>0</v>
      </c>
      <c r="H116" s="236">
        <f>VResPlus!U83</f>
        <v>0</v>
      </c>
      <c r="I116" s="236">
        <f>VResPlus!V83</f>
        <v>0</v>
      </c>
      <c r="J116" s="241">
        <f>VResPlus!W83</f>
        <v>0</v>
      </c>
      <c r="K116" s="236">
        <f>VResPlus!X83</f>
        <v>0</v>
      </c>
      <c r="L116" s="237"/>
      <c r="M116" s="242">
        <v>0</v>
      </c>
      <c r="N116" s="238"/>
    </row>
    <row r="117" spans="3:14" x14ac:dyDescent="0.35">
      <c r="C117" s="239">
        <f t="shared" si="1"/>
        <v>79</v>
      </c>
      <c r="D117" s="243">
        <f>VResPlus!O84</f>
        <v>0</v>
      </c>
      <c r="E117" s="240">
        <f>VResPlus!P84</f>
        <v>0</v>
      </c>
      <c r="F117" s="236">
        <f>VResPlus!Q84</f>
        <v>0</v>
      </c>
      <c r="G117" s="236">
        <f>VResPlus!S84</f>
        <v>0</v>
      </c>
      <c r="H117" s="236">
        <f>VResPlus!U84</f>
        <v>0</v>
      </c>
      <c r="I117" s="236">
        <f>VResPlus!V84</f>
        <v>0</v>
      </c>
      <c r="J117" s="241">
        <f>VResPlus!W84</f>
        <v>0</v>
      </c>
      <c r="K117" s="236">
        <f>VResPlus!X84</f>
        <v>0</v>
      </c>
      <c r="L117" s="237"/>
      <c r="M117" s="242">
        <v>0</v>
      </c>
      <c r="N117" s="238"/>
    </row>
    <row r="118" spans="3:14" x14ac:dyDescent="0.35">
      <c r="C118" s="239">
        <f t="shared" si="1"/>
        <v>80</v>
      </c>
      <c r="D118" s="243">
        <f>VResPlus!O85</f>
        <v>0</v>
      </c>
      <c r="E118" s="240">
        <f>VResPlus!P85</f>
        <v>0</v>
      </c>
      <c r="F118" s="236">
        <f>VResPlus!Q85</f>
        <v>0</v>
      </c>
      <c r="G118" s="236">
        <f>VResPlus!S85</f>
        <v>0</v>
      </c>
      <c r="H118" s="236">
        <f>VResPlus!U85</f>
        <v>0</v>
      </c>
      <c r="I118" s="236">
        <f>VResPlus!V85</f>
        <v>0</v>
      </c>
      <c r="J118" s="241">
        <f>VResPlus!W85</f>
        <v>0</v>
      </c>
      <c r="K118" s="236">
        <f>VResPlus!X85</f>
        <v>0</v>
      </c>
      <c r="L118" s="237"/>
      <c r="M118" s="242">
        <v>0</v>
      </c>
      <c r="N118" s="238"/>
    </row>
    <row r="119" spans="3:14" x14ac:dyDescent="0.35">
      <c r="C119" s="239">
        <f t="shared" si="1"/>
        <v>81</v>
      </c>
      <c r="D119" s="243">
        <f>VResPlus!O86</f>
        <v>0</v>
      </c>
      <c r="E119" s="240">
        <f>VResPlus!P86</f>
        <v>0</v>
      </c>
      <c r="F119" s="236">
        <f>VResPlus!Q86</f>
        <v>0</v>
      </c>
      <c r="G119" s="236">
        <f>VResPlus!S86</f>
        <v>0</v>
      </c>
      <c r="H119" s="236">
        <f>VResPlus!U86</f>
        <v>0</v>
      </c>
      <c r="I119" s="236">
        <f>VResPlus!V86</f>
        <v>0</v>
      </c>
      <c r="J119" s="241">
        <f>VResPlus!W86</f>
        <v>0</v>
      </c>
      <c r="K119" s="236">
        <f>VResPlus!X86</f>
        <v>0</v>
      </c>
      <c r="L119" s="237"/>
      <c r="M119" s="242">
        <v>0</v>
      </c>
      <c r="N119" s="238"/>
    </row>
    <row r="120" spans="3:14" x14ac:dyDescent="0.35">
      <c r="C120" s="239">
        <f t="shared" si="1"/>
        <v>82</v>
      </c>
      <c r="D120" s="243">
        <f>VResPlus!O87</f>
        <v>0</v>
      </c>
      <c r="E120" s="240">
        <f>VResPlus!P87</f>
        <v>0</v>
      </c>
      <c r="F120" s="236">
        <f>VResPlus!Q87</f>
        <v>0</v>
      </c>
      <c r="G120" s="236">
        <f>VResPlus!S87</f>
        <v>0</v>
      </c>
      <c r="H120" s="236">
        <f>VResPlus!U87</f>
        <v>0</v>
      </c>
      <c r="I120" s="236">
        <f>VResPlus!V87</f>
        <v>0</v>
      </c>
      <c r="J120" s="241">
        <f>VResPlus!W87</f>
        <v>0</v>
      </c>
      <c r="K120" s="236">
        <f>VResPlus!X87</f>
        <v>0</v>
      </c>
      <c r="L120" s="237"/>
      <c r="M120" s="242">
        <v>0</v>
      </c>
      <c r="N120" s="238"/>
    </row>
    <row r="121" spans="3:14" x14ac:dyDescent="0.35">
      <c r="C121" s="239">
        <f t="shared" si="1"/>
        <v>83</v>
      </c>
      <c r="D121" s="243">
        <f>VResPlus!O88</f>
        <v>0</v>
      </c>
      <c r="E121" s="240">
        <f>VResPlus!P88</f>
        <v>0</v>
      </c>
      <c r="F121" s="236">
        <f>VResPlus!Q88</f>
        <v>0</v>
      </c>
      <c r="G121" s="236">
        <f>VResPlus!S88</f>
        <v>0</v>
      </c>
      <c r="H121" s="236">
        <f>VResPlus!U88</f>
        <v>0</v>
      </c>
      <c r="I121" s="236">
        <f>VResPlus!V88</f>
        <v>0</v>
      </c>
      <c r="J121" s="241">
        <f>VResPlus!W88</f>
        <v>0</v>
      </c>
      <c r="K121" s="236">
        <f>VResPlus!X88</f>
        <v>0</v>
      </c>
      <c r="L121" s="237"/>
      <c r="M121" s="242">
        <v>0</v>
      </c>
      <c r="N121" s="238"/>
    </row>
    <row r="122" spans="3:14" x14ac:dyDescent="0.35">
      <c r="C122" s="381">
        <f t="shared" si="1"/>
        <v>84</v>
      </c>
      <c r="D122" s="382">
        <f>VResPlus!O89</f>
        <v>0</v>
      </c>
      <c r="E122" s="383">
        <f>VResPlus!P89</f>
        <v>0</v>
      </c>
      <c r="F122" s="384">
        <f>VResPlus!Q89</f>
        <v>0</v>
      </c>
      <c r="G122" s="384">
        <f>VResPlus!S89</f>
        <v>0</v>
      </c>
      <c r="H122" s="384">
        <f>VResPlus!U89</f>
        <v>0</v>
      </c>
      <c r="I122" s="384">
        <f>VResPlus!V89</f>
        <v>0</v>
      </c>
      <c r="J122" s="385">
        <f>VResPlus!W89</f>
        <v>0</v>
      </c>
      <c r="K122" s="384">
        <f>VResPlus!X89</f>
        <v>0</v>
      </c>
      <c r="L122" s="237"/>
      <c r="M122" s="386">
        <v>0</v>
      </c>
      <c r="N122" s="238"/>
    </row>
    <row r="123" spans="3:14" x14ac:dyDescent="0.35">
      <c r="C123" s="239">
        <f t="shared" si="1"/>
        <v>85</v>
      </c>
      <c r="D123" s="243">
        <f>VResPlus!O90</f>
        <v>0</v>
      </c>
      <c r="E123" s="240">
        <f>VResPlus!P90</f>
        <v>0</v>
      </c>
      <c r="F123" s="236">
        <f>VResPlus!Q90</f>
        <v>0</v>
      </c>
      <c r="G123" s="236">
        <f>VResPlus!S90</f>
        <v>0</v>
      </c>
      <c r="H123" s="236">
        <f>VResPlus!U90</f>
        <v>0</v>
      </c>
      <c r="I123" s="236">
        <f>VResPlus!V90</f>
        <v>0</v>
      </c>
      <c r="J123" s="241">
        <f>VResPlus!W90</f>
        <v>0</v>
      </c>
      <c r="K123" s="236">
        <f>VResPlus!X90</f>
        <v>0</v>
      </c>
      <c r="L123" s="237"/>
      <c r="M123" s="242">
        <v>0</v>
      </c>
      <c r="N123" s="238"/>
    </row>
    <row r="124" spans="3:14" x14ac:dyDescent="0.35">
      <c r="C124" s="239">
        <f t="shared" si="1"/>
        <v>86</v>
      </c>
      <c r="D124" s="243">
        <f>VResPlus!O91</f>
        <v>0</v>
      </c>
      <c r="E124" s="240">
        <f>VResPlus!P91</f>
        <v>0</v>
      </c>
      <c r="F124" s="236">
        <f>VResPlus!Q91</f>
        <v>0</v>
      </c>
      <c r="G124" s="236">
        <f>VResPlus!S91</f>
        <v>0</v>
      </c>
      <c r="H124" s="236">
        <f>VResPlus!U91</f>
        <v>0</v>
      </c>
      <c r="I124" s="236">
        <f>VResPlus!V91</f>
        <v>0</v>
      </c>
      <c r="J124" s="241">
        <f>VResPlus!W91</f>
        <v>0</v>
      </c>
      <c r="K124" s="236">
        <f>VResPlus!X91</f>
        <v>0</v>
      </c>
      <c r="L124" s="237"/>
      <c r="M124" s="242">
        <v>0</v>
      </c>
      <c r="N124" s="238"/>
    </row>
    <row r="125" spans="3:14" x14ac:dyDescent="0.35">
      <c r="C125" s="239">
        <f t="shared" si="1"/>
        <v>87</v>
      </c>
      <c r="D125" s="243">
        <f>VResPlus!O92</f>
        <v>0</v>
      </c>
      <c r="E125" s="240">
        <f>VResPlus!P92</f>
        <v>0</v>
      </c>
      <c r="F125" s="236">
        <f>VResPlus!Q92</f>
        <v>0</v>
      </c>
      <c r="G125" s="236">
        <f>VResPlus!S92</f>
        <v>0</v>
      </c>
      <c r="H125" s="236">
        <f>VResPlus!U92</f>
        <v>0</v>
      </c>
      <c r="I125" s="236">
        <f>VResPlus!V92</f>
        <v>0</v>
      </c>
      <c r="J125" s="241">
        <f>VResPlus!W92</f>
        <v>0</v>
      </c>
      <c r="K125" s="236">
        <f>VResPlus!X92</f>
        <v>0</v>
      </c>
      <c r="L125" s="237"/>
      <c r="M125" s="242">
        <v>0</v>
      </c>
      <c r="N125" s="238"/>
    </row>
    <row r="126" spans="3:14" x14ac:dyDescent="0.35">
      <c r="C126" s="239">
        <f t="shared" si="1"/>
        <v>88</v>
      </c>
      <c r="D126" s="243">
        <f>VResPlus!O93</f>
        <v>0</v>
      </c>
      <c r="E126" s="240">
        <f>VResPlus!P93</f>
        <v>0</v>
      </c>
      <c r="F126" s="236">
        <f>VResPlus!Q93</f>
        <v>0</v>
      </c>
      <c r="G126" s="236">
        <f>VResPlus!S93</f>
        <v>0</v>
      </c>
      <c r="H126" s="236">
        <f>VResPlus!U93</f>
        <v>0</v>
      </c>
      <c r="I126" s="236">
        <f>VResPlus!V93</f>
        <v>0</v>
      </c>
      <c r="J126" s="241">
        <f>VResPlus!W93</f>
        <v>0</v>
      </c>
      <c r="K126" s="236">
        <f>VResPlus!X93</f>
        <v>0</v>
      </c>
      <c r="L126" s="237"/>
      <c r="M126" s="242">
        <v>0</v>
      </c>
      <c r="N126" s="238"/>
    </row>
    <row r="127" spans="3:14" x14ac:dyDescent="0.35">
      <c r="C127" s="239">
        <f t="shared" si="1"/>
        <v>89</v>
      </c>
      <c r="D127" s="243">
        <f>VResPlus!O94</f>
        <v>0</v>
      </c>
      <c r="E127" s="240">
        <f>VResPlus!P94</f>
        <v>0</v>
      </c>
      <c r="F127" s="236">
        <f>VResPlus!Q94</f>
        <v>0</v>
      </c>
      <c r="G127" s="236">
        <f>VResPlus!S94</f>
        <v>0</v>
      </c>
      <c r="H127" s="236">
        <f>VResPlus!U94</f>
        <v>0</v>
      </c>
      <c r="I127" s="236">
        <f>VResPlus!V94</f>
        <v>0</v>
      </c>
      <c r="J127" s="241">
        <f>VResPlus!W94</f>
        <v>0</v>
      </c>
      <c r="K127" s="236">
        <f>VResPlus!X94</f>
        <v>0</v>
      </c>
      <c r="L127" s="237"/>
      <c r="M127" s="242">
        <v>0</v>
      </c>
      <c r="N127" s="238"/>
    </row>
    <row r="128" spans="3:14" x14ac:dyDescent="0.35">
      <c r="C128" s="239">
        <f t="shared" si="1"/>
        <v>90</v>
      </c>
      <c r="D128" s="243">
        <f>VResPlus!O95</f>
        <v>0</v>
      </c>
      <c r="E128" s="240">
        <f>VResPlus!P95</f>
        <v>0</v>
      </c>
      <c r="F128" s="236">
        <f>VResPlus!Q95</f>
        <v>0</v>
      </c>
      <c r="G128" s="236">
        <f>VResPlus!S95</f>
        <v>0</v>
      </c>
      <c r="H128" s="236">
        <f>VResPlus!U95</f>
        <v>0</v>
      </c>
      <c r="I128" s="236">
        <f>VResPlus!V95</f>
        <v>0</v>
      </c>
      <c r="J128" s="241">
        <f>VResPlus!W95</f>
        <v>0</v>
      </c>
      <c r="K128" s="236">
        <f>VResPlus!X95</f>
        <v>0</v>
      </c>
      <c r="L128" s="237"/>
      <c r="M128" s="242">
        <v>0</v>
      </c>
      <c r="N128" s="238"/>
    </row>
    <row r="129" spans="3:14" x14ac:dyDescent="0.35">
      <c r="C129" s="239">
        <f t="shared" si="1"/>
        <v>91</v>
      </c>
      <c r="D129" s="243">
        <f>VResPlus!O96</f>
        <v>0</v>
      </c>
      <c r="E129" s="240">
        <f>VResPlus!P96</f>
        <v>0</v>
      </c>
      <c r="F129" s="236">
        <f>VResPlus!Q96</f>
        <v>0</v>
      </c>
      <c r="G129" s="236">
        <f>VResPlus!S96</f>
        <v>0</v>
      </c>
      <c r="H129" s="236">
        <f>VResPlus!U96</f>
        <v>0</v>
      </c>
      <c r="I129" s="236">
        <f>VResPlus!V96</f>
        <v>0</v>
      </c>
      <c r="J129" s="241">
        <f>VResPlus!W96</f>
        <v>0</v>
      </c>
      <c r="K129" s="236">
        <f>VResPlus!X96</f>
        <v>0</v>
      </c>
      <c r="L129" s="237"/>
      <c r="M129" s="242">
        <v>0</v>
      </c>
      <c r="N129" s="238"/>
    </row>
    <row r="130" spans="3:14" x14ac:dyDescent="0.35">
      <c r="C130" s="239">
        <f t="shared" si="1"/>
        <v>92</v>
      </c>
      <c r="D130" s="243">
        <f>VResPlus!O97</f>
        <v>0</v>
      </c>
      <c r="E130" s="240">
        <f>VResPlus!P97</f>
        <v>0</v>
      </c>
      <c r="F130" s="236">
        <f>VResPlus!Q97</f>
        <v>0</v>
      </c>
      <c r="G130" s="236">
        <f>VResPlus!S97</f>
        <v>0</v>
      </c>
      <c r="H130" s="236">
        <f>VResPlus!U97</f>
        <v>0</v>
      </c>
      <c r="I130" s="236">
        <f>VResPlus!V97</f>
        <v>0</v>
      </c>
      <c r="J130" s="241">
        <f>VResPlus!W97</f>
        <v>0</v>
      </c>
      <c r="K130" s="236">
        <f>VResPlus!X97</f>
        <v>0</v>
      </c>
      <c r="L130" s="237"/>
      <c r="M130" s="242">
        <v>0</v>
      </c>
      <c r="N130" s="238"/>
    </row>
    <row r="131" spans="3:14" x14ac:dyDescent="0.35">
      <c r="C131" s="239">
        <f t="shared" si="1"/>
        <v>93</v>
      </c>
      <c r="D131" s="243">
        <f>VResPlus!O98</f>
        <v>0</v>
      </c>
      <c r="E131" s="240">
        <f>VResPlus!P98</f>
        <v>0</v>
      </c>
      <c r="F131" s="236">
        <f>VResPlus!Q98</f>
        <v>0</v>
      </c>
      <c r="G131" s="236">
        <f>VResPlus!S98</f>
        <v>0</v>
      </c>
      <c r="H131" s="236">
        <f>VResPlus!U98</f>
        <v>0</v>
      </c>
      <c r="I131" s="236">
        <f>VResPlus!V98</f>
        <v>0</v>
      </c>
      <c r="J131" s="241">
        <f>VResPlus!W98</f>
        <v>0</v>
      </c>
      <c r="K131" s="236">
        <f>VResPlus!X98</f>
        <v>0</v>
      </c>
      <c r="L131" s="237"/>
      <c r="M131" s="242">
        <v>0</v>
      </c>
      <c r="N131" s="238"/>
    </row>
    <row r="132" spans="3:14" x14ac:dyDescent="0.35">
      <c r="C132" s="239">
        <f t="shared" si="1"/>
        <v>94</v>
      </c>
      <c r="D132" s="243">
        <f>VResPlus!O99</f>
        <v>0</v>
      </c>
      <c r="E132" s="240">
        <f>VResPlus!P99</f>
        <v>0</v>
      </c>
      <c r="F132" s="236">
        <f>VResPlus!Q99</f>
        <v>0</v>
      </c>
      <c r="G132" s="236">
        <f>VResPlus!S99</f>
        <v>0</v>
      </c>
      <c r="H132" s="236">
        <f>VResPlus!U99</f>
        <v>0</v>
      </c>
      <c r="I132" s="236">
        <f>VResPlus!V99</f>
        <v>0</v>
      </c>
      <c r="J132" s="241">
        <f>VResPlus!W99</f>
        <v>0</v>
      </c>
      <c r="K132" s="236">
        <f>VResPlus!X99</f>
        <v>0</v>
      </c>
      <c r="L132" s="237"/>
      <c r="M132" s="242">
        <v>0</v>
      </c>
      <c r="N132" s="238"/>
    </row>
    <row r="133" spans="3:14" x14ac:dyDescent="0.35">
      <c r="C133" s="239">
        <f t="shared" si="1"/>
        <v>95</v>
      </c>
      <c r="D133" s="243">
        <f>VResPlus!O100</f>
        <v>0</v>
      </c>
      <c r="E133" s="240">
        <f>VResPlus!P100</f>
        <v>0</v>
      </c>
      <c r="F133" s="236">
        <f>VResPlus!Q100</f>
        <v>0</v>
      </c>
      <c r="G133" s="236">
        <f>VResPlus!S100</f>
        <v>0</v>
      </c>
      <c r="H133" s="236">
        <f>VResPlus!U100</f>
        <v>0</v>
      </c>
      <c r="I133" s="236">
        <f>VResPlus!V100</f>
        <v>0</v>
      </c>
      <c r="J133" s="241">
        <f>VResPlus!W100</f>
        <v>0</v>
      </c>
      <c r="K133" s="236">
        <f>VResPlus!X100</f>
        <v>0</v>
      </c>
      <c r="L133" s="237"/>
      <c r="M133" s="242">
        <v>0</v>
      </c>
      <c r="N133" s="238"/>
    </row>
    <row r="134" spans="3:14" x14ac:dyDescent="0.35">
      <c r="C134" s="381">
        <f t="shared" si="1"/>
        <v>96</v>
      </c>
      <c r="D134" s="382">
        <f>VResPlus!O101</f>
        <v>0</v>
      </c>
      <c r="E134" s="383">
        <f>VResPlus!P101</f>
        <v>0</v>
      </c>
      <c r="F134" s="384">
        <f>VResPlus!Q101</f>
        <v>0</v>
      </c>
      <c r="G134" s="384">
        <f>VResPlus!S101</f>
        <v>0</v>
      </c>
      <c r="H134" s="384">
        <f>VResPlus!U101</f>
        <v>0</v>
      </c>
      <c r="I134" s="384">
        <f>VResPlus!V101</f>
        <v>0</v>
      </c>
      <c r="J134" s="385">
        <f>VResPlus!W101</f>
        <v>0</v>
      </c>
      <c r="K134" s="384">
        <f>VResPlus!X101</f>
        <v>0</v>
      </c>
      <c r="L134" s="237"/>
      <c r="M134" s="386">
        <v>0</v>
      </c>
      <c r="N134" s="238"/>
    </row>
    <row r="135" spans="3:14" x14ac:dyDescent="0.35">
      <c r="C135" s="239">
        <f t="shared" si="1"/>
        <v>97</v>
      </c>
      <c r="D135" s="243">
        <f>VResPlus!O102</f>
        <v>0</v>
      </c>
      <c r="E135" s="240">
        <f>VResPlus!P102</f>
        <v>0</v>
      </c>
      <c r="F135" s="236">
        <f>VResPlus!Q102</f>
        <v>0</v>
      </c>
      <c r="G135" s="236">
        <f>VResPlus!S102</f>
        <v>0</v>
      </c>
      <c r="H135" s="236">
        <f>VResPlus!U102</f>
        <v>0</v>
      </c>
      <c r="I135" s="236">
        <f>VResPlus!V102</f>
        <v>0</v>
      </c>
      <c r="J135" s="241">
        <f>VResPlus!W102</f>
        <v>0</v>
      </c>
      <c r="K135" s="236">
        <f>VResPlus!X102</f>
        <v>0</v>
      </c>
      <c r="L135" s="237"/>
      <c r="M135" s="242">
        <v>0</v>
      </c>
      <c r="N135" s="238"/>
    </row>
    <row r="136" spans="3:14" x14ac:dyDescent="0.35">
      <c r="C136" s="239">
        <f t="shared" si="1"/>
        <v>98</v>
      </c>
      <c r="D136" s="243">
        <f>VResPlus!O103</f>
        <v>0</v>
      </c>
      <c r="E136" s="240">
        <f>VResPlus!P103</f>
        <v>0</v>
      </c>
      <c r="F136" s="236">
        <f>VResPlus!Q103</f>
        <v>0</v>
      </c>
      <c r="G136" s="236">
        <f>VResPlus!S103</f>
        <v>0</v>
      </c>
      <c r="H136" s="236">
        <f>VResPlus!U103</f>
        <v>0</v>
      </c>
      <c r="I136" s="236">
        <f>VResPlus!V103</f>
        <v>0</v>
      </c>
      <c r="J136" s="241">
        <f>VResPlus!W103</f>
        <v>0</v>
      </c>
      <c r="K136" s="236">
        <f>VResPlus!X103</f>
        <v>0</v>
      </c>
      <c r="L136" s="237"/>
      <c r="M136" s="242">
        <v>0</v>
      </c>
      <c r="N136" s="238"/>
    </row>
    <row r="137" spans="3:14" x14ac:dyDescent="0.35">
      <c r="C137" s="239">
        <f t="shared" si="1"/>
        <v>99</v>
      </c>
      <c r="D137" s="243">
        <f>VResPlus!O104</f>
        <v>0</v>
      </c>
      <c r="E137" s="240">
        <f>VResPlus!P104</f>
        <v>0</v>
      </c>
      <c r="F137" s="236">
        <f>VResPlus!Q104</f>
        <v>0</v>
      </c>
      <c r="G137" s="236">
        <f>VResPlus!S104</f>
        <v>0</v>
      </c>
      <c r="H137" s="236">
        <f>VResPlus!U104</f>
        <v>0</v>
      </c>
      <c r="I137" s="236">
        <f>VResPlus!V104</f>
        <v>0</v>
      </c>
      <c r="J137" s="241">
        <f>VResPlus!W104</f>
        <v>0</v>
      </c>
      <c r="K137" s="236">
        <f>VResPlus!X104</f>
        <v>0</v>
      </c>
      <c r="L137" s="237"/>
      <c r="M137" s="242">
        <v>0</v>
      </c>
      <c r="N137" s="238"/>
    </row>
    <row r="138" spans="3:14" x14ac:dyDescent="0.35">
      <c r="C138" s="239">
        <f t="shared" si="1"/>
        <v>100</v>
      </c>
      <c r="D138" s="243">
        <f>VResPlus!O105</f>
        <v>0</v>
      </c>
      <c r="E138" s="240">
        <f>VResPlus!P105</f>
        <v>0</v>
      </c>
      <c r="F138" s="236">
        <f>VResPlus!Q105</f>
        <v>0</v>
      </c>
      <c r="G138" s="236">
        <f>VResPlus!S105</f>
        <v>0</v>
      </c>
      <c r="H138" s="236">
        <f>VResPlus!U105</f>
        <v>0</v>
      </c>
      <c r="I138" s="236">
        <f>VResPlus!V105</f>
        <v>0</v>
      </c>
      <c r="J138" s="241">
        <f>VResPlus!W105</f>
        <v>0</v>
      </c>
      <c r="K138" s="236">
        <f>VResPlus!X105</f>
        <v>0</v>
      </c>
      <c r="L138" s="237"/>
      <c r="M138" s="242">
        <v>0</v>
      </c>
      <c r="N138" s="238"/>
    </row>
    <row r="139" spans="3:14" x14ac:dyDescent="0.35">
      <c r="C139" s="239">
        <f t="shared" si="1"/>
        <v>101</v>
      </c>
      <c r="D139" s="243">
        <f>VResPlus!O106</f>
        <v>0</v>
      </c>
      <c r="E139" s="240">
        <f>VResPlus!P106</f>
        <v>0</v>
      </c>
      <c r="F139" s="236">
        <f>VResPlus!Q106</f>
        <v>0</v>
      </c>
      <c r="G139" s="236">
        <f>VResPlus!S106</f>
        <v>0</v>
      </c>
      <c r="H139" s="236">
        <f>VResPlus!U106</f>
        <v>0</v>
      </c>
      <c r="I139" s="236">
        <f>VResPlus!V106</f>
        <v>0</v>
      </c>
      <c r="J139" s="241">
        <f>VResPlus!W106</f>
        <v>0</v>
      </c>
      <c r="K139" s="236">
        <f>VResPlus!X106</f>
        <v>0</v>
      </c>
      <c r="L139" s="237"/>
      <c r="M139" s="242">
        <v>0</v>
      </c>
      <c r="N139" s="238"/>
    </row>
    <row r="140" spans="3:14" x14ac:dyDescent="0.35">
      <c r="C140" s="239">
        <f t="shared" si="1"/>
        <v>102</v>
      </c>
      <c r="D140" s="243">
        <f>VResPlus!O107</f>
        <v>0</v>
      </c>
      <c r="E140" s="240">
        <f>VResPlus!P107</f>
        <v>0</v>
      </c>
      <c r="F140" s="236">
        <f>VResPlus!Q107</f>
        <v>0</v>
      </c>
      <c r="G140" s="236">
        <f>VResPlus!S107</f>
        <v>0</v>
      </c>
      <c r="H140" s="236">
        <f>VResPlus!U107</f>
        <v>0</v>
      </c>
      <c r="I140" s="236">
        <f>VResPlus!V107</f>
        <v>0</v>
      </c>
      <c r="J140" s="241">
        <f>VResPlus!W107</f>
        <v>0</v>
      </c>
      <c r="K140" s="236">
        <f>VResPlus!X107</f>
        <v>0</v>
      </c>
      <c r="L140" s="237"/>
      <c r="M140" s="242">
        <v>0</v>
      </c>
      <c r="N140" s="238"/>
    </row>
    <row r="141" spans="3:14" x14ac:dyDescent="0.35">
      <c r="C141" s="239">
        <f t="shared" si="1"/>
        <v>103</v>
      </c>
      <c r="D141" s="243">
        <f>VResPlus!O108</f>
        <v>0</v>
      </c>
      <c r="E141" s="240">
        <f>VResPlus!P108</f>
        <v>0</v>
      </c>
      <c r="F141" s="236">
        <f>VResPlus!Q108</f>
        <v>0</v>
      </c>
      <c r="G141" s="236">
        <f>VResPlus!S108</f>
        <v>0</v>
      </c>
      <c r="H141" s="236">
        <f>VResPlus!U108</f>
        <v>0</v>
      </c>
      <c r="I141" s="236">
        <f>VResPlus!V108</f>
        <v>0</v>
      </c>
      <c r="J141" s="241">
        <f>VResPlus!W108</f>
        <v>0</v>
      </c>
      <c r="K141" s="236">
        <f>VResPlus!X108</f>
        <v>0</v>
      </c>
      <c r="L141" s="237"/>
      <c r="M141" s="242">
        <v>0</v>
      </c>
      <c r="N141" s="238"/>
    </row>
    <row r="142" spans="3:14" x14ac:dyDescent="0.35">
      <c r="C142" s="239">
        <f t="shared" si="1"/>
        <v>104</v>
      </c>
      <c r="D142" s="243">
        <f>VResPlus!O109</f>
        <v>0</v>
      </c>
      <c r="E142" s="240">
        <f>VResPlus!P109</f>
        <v>0</v>
      </c>
      <c r="F142" s="236">
        <f>VResPlus!Q109</f>
        <v>0</v>
      </c>
      <c r="G142" s="236">
        <f>VResPlus!S109</f>
        <v>0</v>
      </c>
      <c r="H142" s="236">
        <f>VResPlus!U109</f>
        <v>0</v>
      </c>
      <c r="I142" s="236">
        <f>VResPlus!V109</f>
        <v>0</v>
      </c>
      <c r="J142" s="241">
        <f>VResPlus!W109</f>
        <v>0</v>
      </c>
      <c r="K142" s="236">
        <f>VResPlus!X109</f>
        <v>0</v>
      </c>
      <c r="L142" s="237"/>
      <c r="M142" s="242">
        <v>0</v>
      </c>
      <c r="N142" s="238"/>
    </row>
    <row r="143" spans="3:14" x14ac:dyDescent="0.35">
      <c r="C143" s="239">
        <f t="shared" si="1"/>
        <v>105</v>
      </c>
      <c r="D143" s="243">
        <f>VResPlus!O110</f>
        <v>0</v>
      </c>
      <c r="E143" s="240">
        <f>VResPlus!P110</f>
        <v>0</v>
      </c>
      <c r="F143" s="236">
        <f>VResPlus!Q110</f>
        <v>0</v>
      </c>
      <c r="G143" s="236">
        <f>VResPlus!S110</f>
        <v>0</v>
      </c>
      <c r="H143" s="236">
        <f>VResPlus!U110</f>
        <v>0</v>
      </c>
      <c r="I143" s="236">
        <f>VResPlus!V110</f>
        <v>0</v>
      </c>
      <c r="J143" s="241">
        <f>VResPlus!W110</f>
        <v>0</v>
      </c>
      <c r="K143" s="236">
        <f>VResPlus!X110</f>
        <v>0</v>
      </c>
      <c r="L143" s="237"/>
      <c r="M143" s="242">
        <v>0</v>
      </c>
      <c r="N143" s="238"/>
    </row>
    <row r="144" spans="3:14" x14ac:dyDescent="0.35">
      <c r="C144" s="239">
        <f t="shared" si="1"/>
        <v>106</v>
      </c>
      <c r="D144" s="243">
        <f>VResPlus!O111</f>
        <v>0</v>
      </c>
      <c r="E144" s="240">
        <f>VResPlus!P111</f>
        <v>0</v>
      </c>
      <c r="F144" s="236">
        <f>VResPlus!Q111</f>
        <v>0</v>
      </c>
      <c r="G144" s="236">
        <f>VResPlus!S111</f>
        <v>0</v>
      </c>
      <c r="H144" s="236">
        <f>VResPlus!U111</f>
        <v>0</v>
      </c>
      <c r="I144" s="236">
        <f>VResPlus!V111</f>
        <v>0</v>
      </c>
      <c r="J144" s="241">
        <f>VResPlus!W111</f>
        <v>0</v>
      </c>
      <c r="K144" s="236">
        <f>VResPlus!X111</f>
        <v>0</v>
      </c>
      <c r="L144" s="237"/>
      <c r="M144" s="242">
        <v>0</v>
      </c>
      <c r="N144" s="238"/>
    </row>
    <row r="145" spans="3:14" x14ac:dyDescent="0.35">
      <c r="C145" s="239">
        <f t="shared" si="1"/>
        <v>107</v>
      </c>
      <c r="D145" s="243">
        <f>VResPlus!O112</f>
        <v>0</v>
      </c>
      <c r="E145" s="240">
        <f>VResPlus!P112</f>
        <v>0</v>
      </c>
      <c r="F145" s="236">
        <f>VResPlus!Q112</f>
        <v>0</v>
      </c>
      <c r="G145" s="236">
        <f>VResPlus!S112</f>
        <v>0</v>
      </c>
      <c r="H145" s="236">
        <f>VResPlus!U112</f>
        <v>0</v>
      </c>
      <c r="I145" s="236">
        <f>VResPlus!V112</f>
        <v>0</v>
      </c>
      <c r="J145" s="241">
        <f>VResPlus!W112</f>
        <v>0</v>
      </c>
      <c r="K145" s="236">
        <f>VResPlus!X112</f>
        <v>0</v>
      </c>
      <c r="L145" s="237"/>
      <c r="M145" s="242">
        <v>0</v>
      </c>
      <c r="N145" s="238"/>
    </row>
    <row r="146" spans="3:14" x14ac:dyDescent="0.35">
      <c r="C146" s="381">
        <f t="shared" si="1"/>
        <v>108</v>
      </c>
      <c r="D146" s="382">
        <f>VResPlus!O113</f>
        <v>0</v>
      </c>
      <c r="E146" s="383">
        <f>VResPlus!P113</f>
        <v>0</v>
      </c>
      <c r="F146" s="384">
        <f>VResPlus!Q113</f>
        <v>0</v>
      </c>
      <c r="G146" s="384">
        <f>VResPlus!S113</f>
        <v>0</v>
      </c>
      <c r="H146" s="384">
        <f>VResPlus!U113</f>
        <v>0</v>
      </c>
      <c r="I146" s="384">
        <f>VResPlus!V113</f>
        <v>0</v>
      </c>
      <c r="J146" s="385">
        <f>VResPlus!W113</f>
        <v>0</v>
      </c>
      <c r="K146" s="384">
        <f>VResPlus!X113</f>
        <v>0</v>
      </c>
      <c r="L146" s="237"/>
      <c r="M146" s="386">
        <v>0</v>
      </c>
      <c r="N146" s="238"/>
    </row>
    <row r="147" spans="3:14" x14ac:dyDescent="0.35">
      <c r="C147" s="239">
        <f t="shared" si="1"/>
        <v>109</v>
      </c>
      <c r="D147" s="243">
        <f>VResPlus!O114</f>
        <v>0</v>
      </c>
      <c r="E147" s="240">
        <f>VResPlus!P114</f>
        <v>0</v>
      </c>
      <c r="F147" s="236">
        <f>VResPlus!Q114</f>
        <v>0</v>
      </c>
      <c r="G147" s="236">
        <f>VResPlus!S114</f>
        <v>0</v>
      </c>
      <c r="H147" s="236">
        <f>VResPlus!U114</f>
        <v>0</v>
      </c>
      <c r="I147" s="236">
        <f>VResPlus!V114</f>
        <v>0</v>
      </c>
      <c r="J147" s="241">
        <f>VResPlus!W114</f>
        <v>0</v>
      </c>
      <c r="K147" s="236">
        <f>VResPlus!X114</f>
        <v>0</v>
      </c>
      <c r="L147" s="237"/>
      <c r="M147" s="242">
        <v>0</v>
      </c>
      <c r="N147" s="238"/>
    </row>
    <row r="148" spans="3:14" x14ac:dyDescent="0.35">
      <c r="C148" s="239">
        <f t="shared" si="1"/>
        <v>110</v>
      </c>
      <c r="D148" s="243">
        <f>VResPlus!O115</f>
        <v>0</v>
      </c>
      <c r="E148" s="240">
        <f>VResPlus!P115</f>
        <v>0</v>
      </c>
      <c r="F148" s="236">
        <f>VResPlus!Q115</f>
        <v>0</v>
      </c>
      <c r="G148" s="236">
        <f>VResPlus!S115</f>
        <v>0</v>
      </c>
      <c r="H148" s="236">
        <f>VResPlus!U115</f>
        <v>0</v>
      </c>
      <c r="I148" s="236">
        <f>VResPlus!V115</f>
        <v>0</v>
      </c>
      <c r="J148" s="241">
        <f>VResPlus!W115</f>
        <v>0</v>
      </c>
      <c r="K148" s="236">
        <f>VResPlus!X115</f>
        <v>0</v>
      </c>
      <c r="L148" s="237"/>
      <c r="M148" s="242">
        <v>0</v>
      </c>
      <c r="N148" s="238"/>
    </row>
    <row r="149" spans="3:14" x14ac:dyDescent="0.35">
      <c r="C149" s="239">
        <f t="shared" si="1"/>
        <v>111</v>
      </c>
      <c r="D149" s="243">
        <f>VResPlus!O116</f>
        <v>0</v>
      </c>
      <c r="E149" s="240">
        <f>VResPlus!P116</f>
        <v>0</v>
      </c>
      <c r="F149" s="236">
        <f>VResPlus!Q116</f>
        <v>0</v>
      </c>
      <c r="G149" s="236">
        <f>VResPlus!S116</f>
        <v>0</v>
      </c>
      <c r="H149" s="236">
        <f>VResPlus!U116</f>
        <v>0</v>
      </c>
      <c r="I149" s="236">
        <f>VResPlus!V116</f>
        <v>0</v>
      </c>
      <c r="J149" s="241">
        <f>VResPlus!W116</f>
        <v>0</v>
      </c>
      <c r="K149" s="236">
        <f>VResPlus!X116</f>
        <v>0</v>
      </c>
      <c r="L149" s="237"/>
      <c r="M149" s="242">
        <v>0</v>
      </c>
      <c r="N149" s="238"/>
    </row>
    <row r="150" spans="3:14" x14ac:dyDescent="0.35">
      <c r="C150" s="239">
        <f t="shared" si="1"/>
        <v>112</v>
      </c>
      <c r="D150" s="243">
        <f>VResPlus!O117</f>
        <v>0</v>
      </c>
      <c r="E150" s="240">
        <f>VResPlus!P117</f>
        <v>0</v>
      </c>
      <c r="F150" s="236">
        <f>VResPlus!Q117</f>
        <v>0</v>
      </c>
      <c r="G150" s="236">
        <f>VResPlus!S117</f>
        <v>0</v>
      </c>
      <c r="H150" s="236">
        <f>VResPlus!U117</f>
        <v>0</v>
      </c>
      <c r="I150" s="236">
        <f>VResPlus!V117</f>
        <v>0</v>
      </c>
      <c r="J150" s="241">
        <f>VResPlus!W117</f>
        <v>0</v>
      </c>
      <c r="K150" s="236">
        <f>VResPlus!X117</f>
        <v>0</v>
      </c>
      <c r="L150" s="237"/>
      <c r="M150" s="242">
        <v>0</v>
      </c>
      <c r="N150" s="238"/>
    </row>
    <row r="151" spans="3:14" x14ac:dyDescent="0.35">
      <c r="C151" s="239">
        <f t="shared" si="1"/>
        <v>113</v>
      </c>
      <c r="D151" s="243">
        <f>VResPlus!O118</f>
        <v>0</v>
      </c>
      <c r="E151" s="240">
        <f>VResPlus!P118</f>
        <v>0</v>
      </c>
      <c r="F151" s="236">
        <f>VResPlus!Q118</f>
        <v>0</v>
      </c>
      <c r="G151" s="236">
        <f>VResPlus!S118</f>
        <v>0</v>
      </c>
      <c r="H151" s="236">
        <f>VResPlus!U118</f>
        <v>0</v>
      </c>
      <c r="I151" s="236">
        <f>VResPlus!V118</f>
        <v>0</v>
      </c>
      <c r="J151" s="241">
        <f>VResPlus!W118</f>
        <v>0</v>
      </c>
      <c r="K151" s="236">
        <f>VResPlus!X118</f>
        <v>0</v>
      </c>
      <c r="L151" s="237"/>
      <c r="M151" s="242">
        <v>0</v>
      </c>
      <c r="N151" s="238"/>
    </row>
    <row r="152" spans="3:14" x14ac:dyDescent="0.35">
      <c r="C152" s="239">
        <f t="shared" si="1"/>
        <v>114</v>
      </c>
      <c r="D152" s="243">
        <f>VResPlus!O119</f>
        <v>0</v>
      </c>
      <c r="E152" s="240">
        <f>VResPlus!P119</f>
        <v>0</v>
      </c>
      <c r="F152" s="236">
        <f>VResPlus!Q119</f>
        <v>0</v>
      </c>
      <c r="G152" s="236">
        <f>VResPlus!S119</f>
        <v>0</v>
      </c>
      <c r="H152" s="236">
        <f>VResPlus!U119</f>
        <v>0</v>
      </c>
      <c r="I152" s="236">
        <f>VResPlus!V119</f>
        <v>0</v>
      </c>
      <c r="J152" s="241">
        <f>VResPlus!W119</f>
        <v>0</v>
      </c>
      <c r="K152" s="236">
        <f>VResPlus!X119</f>
        <v>0</v>
      </c>
      <c r="L152" s="237"/>
      <c r="M152" s="242">
        <v>0</v>
      </c>
      <c r="N152" s="238"/>
    </row>
    <row r="153" spans="3:14" x14ac:dyDescent="0.35">
      <c r="C153" s="239">
        <f t="shared" si="1"/>
        <v>115</v>
      </c>
      <c r="D153" s="243">
        <f>VResPlus!O120</f>
        <v>0</v>
      </c>
      <c r="E153" s="240">
        <f>VResPlus!P120</f>
        <v>0</v>
      </c>
      <c r="F153" s="236">
        <f>VResPlus!Q120</f>
        <v>0</v>
      </c>
      <c r="G153" s="236">
        <f>VResPlus!S120</f>
        <v>0</v>
      </c>
      <c r="H153" s="236">
        <f>VResPlus!U120</f>
        <v>0</v>
      </c>
      <c r="I153" s="236">
        <f>VResPlus!V120</f>
        <v>0</v>
      </c>
      <c r="J153" s="241">
        <f>VResPlus!W120</f>
        <v>0</v>
      </c>
      <c r="K153" s="236">
        <f>VResPlus!X120</f>
        <v>0</v>
      </c>
      <c r="L153" s="237"/>
      <c r="M153" s="242">
        <v>0</v>
      </c>
      <c r="N153" s="238"/>
    </row>
    <row r="154" spans="3:14" x14ac:dyDescent="0.35">
      <c r="C154" s="239">
        <f t="shared" si="1"/>
        <v>116</v>
      </c>
      <c r="D154" s="243">
        <f>VResPlus!O121</f>
        <v>0</v>
      </c>
      <c r="E154" s="240">
        <f>VResPlus!P121</f>
        <v>0</v>
      </c>
      <c r="F154" s="236">
        <f>VResPlus!Q121</f>
        <v>0</v>
      </c>
      <c r="G154" s="236">
        <f>VResPlus!S121</f>
        <v>0</v>
      </c>
      <c r="H154" s="236">
        <f>VResPlus!U121</f>
        <v>0</v>
      </c>
      <c r="I154" s="236">
        <f>VResPlus!V121</f>
        <v>0</v>
      </c>
      <c r="J154" s="241">
        <f>VResPlus!W121</f>
        <v>0</v>
      </c>
      <c r="K154" s="236">
        <f>VResPlus!X121</f>
        <v>0</v>
      </c>
      <c r="L154" s="237"/>
      <c r="M154" s="242">
        <v>0</v>
      </c>
      <c r="N154" s="238"/>
    </row>
    <row r="155" spans="3:14" x14ac:dyDescent="0.35">
      <c r="C155" s="239">
        <f t="shared" si="1"/>
        <v>117</v>
      </c>
      <c r="D155" s="243">
        <f>VResPlus!O122</f>
        <v>0</v>
      </c>
      <c r="E155" s="240">
        <f>VResPlus!P122</f>
        <v>0</v>
      </c>
      <c r="F155" s="236">
        <f>VResPlus!Q122</f>
        <v>0</v>
      </c>
      <c r="G155" s="236">
        <f>VResPlus!S122</f>
        <v>0</v>
      </c>
      <c r="H155" s="236">
        <f>VResPlus!U122</f>
        <v>0</v>
      </c>
      <c r="I155" s="236">
        <f>VResPlus!V122</f>
        <v>0</v>
      </c>
      <c r="J155" s="241">
        <f>VResPlus!W122</f>
        <v>0</v>
      </c>
      <c r="K155" s="236">
        <f>VResPlus!X122</f>
        <v>0</v>
      </c>
      <c r="L155" s="237"/>
      <c r="M155" s="242">
        <v>0</v>
      </c>
      <c r="N155" s="238"/>
    </row>
    <row r="156" spans="3:14" x14ac:dyDescent="0.35">
      <c r="C156" s="239">
        <f t="shared" si="1"/>
        <v>118</v>
      </c>
      <c r="D156" s="243">
        <f>VResPlus!O123</f>
        <v>0</v>
      </c>
      <c r="E156" s="240">
        <f>VResPlus!P123</f>
        <v>0</v>
      </c>
      <c r="F156" s="236">
        <f>VResPlus!Q123</f>
        <v>0</v>
      </c>
      <c r="G156" s="236">
        <f>VResPlus!S123</f>
        <v>0</v>
      </c>
      <c r="H156" s="236">
        <f>VResPlus!U123</f>
        <v>0</v>
      </c>
      <c r="I156" s="236">
        <f>VResPlus!V123</f>
        <v>0</v>
      </c>
      <c r="J156" s="241">
        <f>VResPlus!W123</f>
        <v>0</v>
      </c>
      <c r="K156" s="236">
        <f>VResPlus!X123</f>
        <v>0</v>
      </c>
      <c r="L156" s="237"/>
      <c r="M156" s="242">
        <v>0</v>
      </c>
      <c r="N156" s="238"/>
    </row>
    <row r="157" spans="3:14" x14ac:dyDescent="0.35">
      <c r="C157" s="244">
        <f t="shared" si="1"/>
        <v>119</v>
      </c>
      <c r="D157" s="245">
        <f>VResPlus!O124</f>
        <v>0</v>
      </c>
      <c r="E157" s="246">
        <f>VResPlus!P124</f>
        <v>0</v>
      </c>
      <c r="F157" s="247">
        <f>VResPlus!Q124</f>
        <v>0</v>
      </c>
      <c r="G157" s="247">
        <f>VResPlus!S124</f>
        <v>0</v>
      </c>
      <c r="H157" s="247">
        <f>VResPlus!U124</f>
        <v>0</v>
      </c>
      <c r="I157" s="247">
        <f>VResPlus!V124</f>
        <v>0</v>
      </c>
      <c r="J157" s="241">
        <f>VResPlus!W124</f>
        <v>0</v>
      </c>
      <c r="K157" s="247">
        <f>VResPlus!X124</f>
        <v>0</v>
      </c>
      <c r="L157" s="237"/>
      <c r="M157" s="242">
        <v>0</v>
      </c>
      <c r="N157" s="238"/>
    </row>
    <row r="158" spans="3:14" x14ac:dyDescent="0.35">
      <c r="C158" s="381">
        <f t="shared" si="1"/>
        <v>120</v>
      </c>
      <c r="D158" s="382">
        <f>VResPlus!O125</f>
        <v>0</v>
      </c>
      <c r="E158" s="383">
        <f>VResPlus!P125</f>
        <v>0</v>
      </c>
      <c r="F158" s="384">
        <f>VResPlus!Q125</f>
        <v>0</v>
      </c>
      <c r="G158" s="384">
        <f>VResPlus!S125</f>
        <v>0</v>
      </c>
      <c r="H158" s="384">
        <f>VResPlus!U125</f>
        <v>0</v>
      </c>
      <c r="I158" s="384">
        <f>VResPlus!V125</f>
        <v>0</v>
      </c>
      <c r="J158" s="385">
        <f>VResPlus!W125</f>
        <v>0</v>
      </c>
      <c r="K158" s="384">
        <f>VResPlus!X125</f>
        <v>0</v>
      </c>
      <c r="L158" s="237"/>
      <c r="M158" s="386">
        <v>0</v>
      </c>
      <c r="N158" s="238"/>
    </row>
    <row r="159" spans="3:14" x14ac:dyDescent="0.35">
      <c r="C159" s="248">
        <f t="shared" si="1"/>
        <v>121</v>
      </c>
      <c r="D159" s="249">
        <f>VResPlus!O126</f>
        <v>0</v>
      </c>
      <c r="E159" s="250">
        <f>VResPlus!P126</f>
        <v>0</v>
      </c>
      <c r="F159" s="251">
        <f>VResPlus!Q126</f>
        <v>0</v>
      </c>
      <c r="G159" s="251">
        <f>VResPlus!S126</f>
        <v>0</v>
      </c>
      <c r="H159" s="251">
        <f>VResPlus!U126</f>
        <v>0</v>
      </c>
      <c r="I159" s="251">
        <f>VResPlus!V126</f>
        <v>0</v>
      </c>
      <c r="J159" s="241">
        <f>VResPlus!W126</f>
        <v>0</v>
      </c>
      <c r="K159" s="251">
        <f>VResPlus!X126</f>
        <v>0</v>
      </c>
      <c r="L159" s="237"/>
      <c r="M159" s="242">
        <v>0</v>
      </c>
      <c r="N159" s="238"/>
    </row>
    <row r="160" spans="3:14" x14ac:dyDescent="0.35">
      <c r="C160" s="239">
        <f t="shared" si="1"/>
        <v>122</v>
      </c>
      <c r="D160" s="243">
        <f>VResPlus!O127</f>
        <v>0</v>
      </c>
      <c r="E160" s="240">
        <f>VResPlus!P127</f>
        <v>0</v>
      </c>
      <c r="F160" s="236">
        <f>VResPlus!Q127</f>
        <v>0</v>
      </c>
      <c r="G160" s="236">
        <f>VResPlus!S127</f>
        <v>0</v>
      </c>
      <c r="H160" s="236">
        <f>VResPlus!U127</f>
        <v>0</v>
      </c>
      <c r="I160" s="236">
        <f>VResPlus!V127</f>
        <v>0</v>
      </c>
      <c r="J160" s="241">
        <f>VResPlus!W127</f>
        <v>0</v>
      </c>
      <c r="K160" s="236">
        <f>VResPlus!X127</f>
        <v>0</v>
      </c>
      <c r="L160" s="237"/>
      <c r="M160" s="242">
        <v>0</v>
      </c>
      <c r="N160" s="238"/>
    </row>
    <row r="161" spans="3:14" x14ac:dyDescent="0.35">
      <c r="C161" s="239">
        <f t="shared" si="1"/>
        <v>123</v>
      </c>
      <c r="D161" s="243">
        <f>VResPlus!O128</f>
        <v>0</v>
      </c>
      <c r="E161" s="240">
        <f>VResPlus!P128</f>
        <v>0</v>
      </c>
      <c r="F161" s="236">
        <f>VResPlus!Q128</f>
        <v>0</v>
      </c>
      <c r="G161" s="236">
        <f>VResPlus!S128</f>
        <v>0</v>
      </c>
      <c r="H161" s="236">
        <f>VResPlus!U128</f>
        <v>0</v>
      </c>
      <c r="I161" s="236">
        <f>VResPlus!V128</f>
        <v>0</v>
      </c>
      <c r="J161" s="241">
        <f>VResPlus!W128</f>
        <v>0</v>
      </c>
      <c r="K161" s="236">
        <f>VResPlus!X128</f>
        <v>0</v>
      </c>
      <c r="L161" s="237"/>
      <c r="M161" s="242">
        <v>0</v>
      </c>
      <c r="N161" s="238"/>
    </row>
    <row r="162" spans="3:14" x14ac:dyDescent="0.35">
      <c r="C162" s="239">
        <f t="shared" si="1"/>
        <v>124</v>
      </c>
      <c r="D162" s="243">
        <f>VResPlus!O129</f>
        <v>0</v>
      </c>
      <c r="E162" s="240">
        <f>VResPlus!P129</f>
        <v>0</v>
      </c>
      <c r="F162" s="236">
        <f>VResPlus!Q129</f>
        <v>0</v>
      </c>
      <c r="G162" s="236">
        <f>VResPlus!S129</f>
        <v>0</v>
      </c>
      <c r="H162" s="236">
        <f>VResPlus!U129</f>
        <v>0</v>
      </c>
      <c r="I162" s="236">
        <f>VResPlus!V129</f>
        <v>0</v>
      </c>
      <c r="J162" s="241">
        <f>VResPlus!W129</f>
        <v>0</v>
      </c>
      <c r="K162" s="236">
        <f>VResPlus!X129</f>
        <v>0</v>
      </c>
      <c r="L162" s="237"/>
      <c r="M162" s="242">
        <v>0</v>
      </c>
      <c r="N162" s="238"/>
    </row>
    <row r="163" spans="3:14" x14ac:dyDescent="0.35">
      <c r="C163" s="239">
        <f t="shared" si="1"/>
        <v>125</v>
      </c>
      <c r="D163" s="243">
        <f>VResPlus!O130</f>
        <v>0</v>
      </c>
      <c r="E163" s="240">
        <f>VResPlus!P130</f>
        <v>0</v>
      </c>
      <c r="F163" s="236">
        <f>VResPlus!Q130</f>
        <v>0</v>
      </c>
      <c r="G163" s="236">
        <f>VResPlus!S130</f>
        <v>0</v>
      </c>
      <c r="H163" s="236">
        <f>VResPlus!U130</f>
        <v>0</v>
      </c>
      <c r="I163" s="236">
        <f>VResPlus!V130</f>
        <v>0</v>
      </c>
      <c r="J163" s="241">
        <f>VResPlus!W130</f>
        <v>0</v>
      </c>
      <c r="K163" s="236">
        <f>VResPlus!X130</f>
        <v>0</v>
      </c>
      <c r="L163" s="237"/>
      <c r="M163" s="242">
        <v>0</v>
      </c>
      <c r="N163" s="238"/>
    </row>
    <row r="164" spans="3:14" x14ac:dyDescent="0.35">
      <c r="C164" s="239">
        <f t="shared" si="1"/>
        <v>126</v>
      </c>
      <c r="D164" s="243">
        <f>VResPlus!O131</f>
        <v>0</v>
      </c>
      <c r="E164" s="240">
        <f>VResPlus!P131</f>
        <v>0</v>
      </c>
      <c r="F164" s="236">
        <f>VResPlus!Q131</f>
        <v>0</v>
      </c>
      <c r="G164" s="236">
        <f>VResPlus!S131</f>
        <v>0</v>
      </c>
      <c r="H164" s="236">
        <f>VResPlus!U131</f>
        <v>0</v>
      </c>
      <c r="I164" s="236">
        <f>VResPlus!V131</f>
        <v>0</v>
      </c>
      <c r="J164" s="241">
        <f>VResPlus!W131</f>
        <v>0</v>
      </c>
      <c r="K164" s="236">
        <f>VResPlus!X131</f>
        <v>0</v>
      </c>
      <c r="L164" s="237"/>
      <c r="M164" s="242">
        <v>0</v>
      </c>
      <c r="N164" s="238"/>
    </row>
    <row r="165" spans="3:14" x14ac:dyDescent="0.35">
      <c r="C165" s="239">
        <f t="shared" si="1"/>
        <v>127</v>
      </c>
      <c r="D165" s="243">
        <f>VResPlus!O132</f>
        <v>0</v>
      </c>
      <c r="E165" s="240">
        <f>VResPlus!P132</f>
        <v>0</v>
      </c>
      <c r="F165" s="236">
        <f>VResPlus!Q132</f>
        <v>0</v>
      </c>
      <c r="G165" s="236">
        <f>VResPlus!S132</f>
        <v>0</v>
      </c>
      <c r="H165" s="236">
        <f>VResPlus!U132</f>
        <v>0</v>
      </c>
      <c r="I165" s="236">
        <f>VResPlus!V132</f>
        <v>0</v>
      </c>
      <c r="J165" s="241">
        <f>VResPlus!W132</f>
        <v>0</v>
      </c>
      <c r="K165" s="236">
        <f>VResPlus!X132</f>
        <v>0</v>
      </c>
      <c r="L165" s="237"/>
      <c r="M165" s="242">
        <v>0</v>
      </c>
      <c r="N165" s="238"/>
    </row>
    <row r="166" spans="3:14" x14ac:dyDescent="0.35">
      <c r="C166" s="239">
        <f t="shared" si="1"/>
        <v>128</v>
      </c>
      <c r="D166" s="243">
        <f>VResPlus!O133</f>
        <v>0</v>
      </c>
      <c r="E166" s="240">
        <f>VResPlus!P133</f>
        <v>0</v>
      </c>
      <c r="F166" s="236">
        <f>VResPlus!Q133</f>
        <v>0</v>
      </c>
      <c r="G166" s="236">
        <f>VResPlus!S133</f>
        <v>0</v>
      </c>
      <c r="H166" s="236">
        <f>VResPlus!U133</f>
        <v>0</v>
      </c>
      <c r="I166" s="236">
        <f>VResPlus!V133</f>
        <v>0</v>
      </c>
      <c r="J166" s="241">
        <f>VResPlus!W133</f>
        <v>0</v>
      </c>
      <c r="K166" s="236">
        <f>VResPlus!X133</f>
        <v>0</v>
      </c>
      <c r="L166" s="237"/>
      <c r="M166" s="242">
        <v>0</v>
      </c>
      <c r="N166" s="238"/>
    </row>
    <row r="167" spans="3:14" x14ac:dyDescent="0.35">
      <c r="C167" s="239">
        <f t="shared" si="1"/>
        <v>129</v>
      </c>
      <c r="D167" s="243">
        <f>VResPlus!O134</f>
        <v>0</v>
      </c>
      <c r="E167" s="240">
        <f>VResPlus!P134</f>
        <v>0</v>
      </c>
      <c r="F167" s="236">
        <f>VResPlus!Q134</f>
        <v>0</v>
      </c>
      <c r="G167" s="236">
        <f>VResPlus!S134</f>
        <v>0</v>
      </c>
      <c r="H167" s="236">
        <f>VResPlus!U134</f>
        <v>0</v>
      </c>
      <c r="I167" s="236">
        <f>VResPlus!V134</f>
        <v>0</v>
      </c>
      <c r="J167" s="241">
        <f>VResPlus!W134</f>
        <v>0</v>
      </c>
      <c r="K167" s="236">
        <f>VResPlus!X134</f>
        <v>0</v>
      </c>
      <c r="L167" s="237"/>
      <c r="M167" s="242">
        <v>0</v>
      </c>
      <c r="N167" s="238"/>
    </row>
    <row r="168" spans="3:14" x14ac:dyDescent="0.35">
      <c r="C168" s="239">
        <f t="shared" si="1"/>
        <v>130</v>
      </c>
      <c r="D168" s="243">
        <f>VResPlus!O135</f>
        <v>0</v>
      </c>
      <c r="E168" s="240">
        <f>VResPlus!P135</f>
        <v>0</v>
      </c>
      <c r="F168" s="236">
        <f>VResPlus!Q135</f>
        <v>0</v>
      </c>
      <c r="G168" s="236">
        <f>VResPlus!S135</f>
        <v>0</v>
      </c>
      <c r="H168" s="236">
        <f>VResPlus!U135</f>
        <v>0</v>
      </c>
      <c r="I168" s="236">
        <f>VResPlus!V135</f>
        <v>0</v>
      </c>
      <c r="J168" s="241">
        <f>VResPlus!W135</f>
        <v>0</v>
      </c>
      <c r="K168" s="236">
        <f>VResPlus!X135</f>
        <v>0</v>
      </c>
      <c r="L168" s="237"/>
      <c r="M168" s="242">
        <v>0</v>
      </c>
      <c r="N168" s="238"/>
    </row>
    <row r="169" spans="3:14" x14ac:dyDescent="0.35">
      <c r="C169" s="239">
        <f t="shared" ref="C169:C232" si="2">C168+1</f>
        <v>131</v>
      </c>
      <c r="D169" s="243">
        <f>VResPlus!O136</f>
        <v>0</v>
      </c>
      <c r="E169" s="240">
        <f>VResPlus!P136</f>
        <v>0</v>
      </c>
      <c r="F169" s="236">
        <f>VResPlus!Q136</f>
        <v>0</v>
      </c>
      <c r="G169" s="236">
        <f>VResPlus!S136</f>
        <v>0</v>
      </c>
      <c r="H169" s="236">
        <f>VResPlus!U136</f>
        <v>0</v>
      </c>
      <c r="I169" s="236">
        <f>VResPlus!V136</f>
        <v>0</v>
      </c>
      <c r="J169" s="241">
        <f>VResPlus!W136</f>
        <v>0</v>
      </c>
      <c r="K169" s="236">
        <f>VResPlus!X136</f>
        <v>0</v>
      </c>
      <c r="L169" s="237"/>
      <c r="M169" s="242">
        <v>0</v>
      </c>
      <c r="N169" s="238"/>
    </row>
    <row r="170" spans="3:14" x14ac:dyDescent="0.35">
      <c r="C170" s="381">
        <f t="shared" si="2"/>
        <v>132</v>
      </c>
      <c r="D170" s="382">
        <f>VResPlus!O137</f>
        <v>0</v>
      </c>
      <c r="E170" s="383">
        <f>VResPlus!P137</f>
        <v>0</v>
      </c>
      <c r="F170" s="384">
        <f>VResPlus!Q137</f>
        <v>0</v>
      </c>
      <c r="G170" s="384">
        <f>VResPlus!S137</f>
        <v>0</v>
      </c>
      <c r="H170" s="384">
        <f>VResPlus!U137</f>
        <v>0</v>
      </c>
      <c r="I170" s="384">
        <f>VResPlus!V137</f>
        <v>0</v>
      </c>
      <c r="J170" s="385">
        <f>VResPlus!W137</f>
        <v>0</v>
      </c>
      <c r="K170" s="384">
        <f>VResPlus!X137</f>
        <v>0</v>
      </c>
      <c r="L170" s="237"/>
      <c r="M170" s="386">
        <v>0</v>
      </c>
      <c r="N170" s="238"/>
    </row>
    <row r="171" spans="3:14" x14ac:dyDescent="0.35">
      <c r="C171" s="239">
        <f t="shared" si="2"/>
        <v>133</v>
      </c>
      <c r="D171" s="243">
        <f>VResPlus!O138</f>
        <v>0</v>
      </c>
      <c r="E171" s="240">
        <f>VResPlus!P138</f>
        <v>0</v>
      </c>
      <c r="F171" s="236">
        <f>VResPlus!Q138</f>
        <v>0</v>
      </c>
      <c r="G171" s="236">
        <f>VResPlus!S138</f>
        <v>0</v>
      </c>
      <c r="H171" s="236">
        <f>VResPlus!U138</f>
        <v>0</v>
      </c>
      <c r="I171" s="236">
        <f>VResPlus!V138</f>
        <v>0</v>
      </c>
      <c r="J171" s="241">
        <f>VResPlus!W138</f>
        <v>0</v>
      </c>
      <c r="K171" s="236">
        <f>VResPlus!X138</f>
        <v>0</v>
      </c>
      <c r="L171" s="237"/>
      <c r="M171" s="242">
        <v>0</v>
      </c>
      <c r="N171" s="238"/>
    </row>
    <row r="172" spans="3:14" x14ac:dyDescent="0.35">
      <c r="C172" s="239">
        <f t="shared" si="2"/>
        <v>134</v>
      </c>
      <c r="D172" s="243">
        <f>VResPlus!O139</f>
        <v>0</v>
      </c>
      <c r="E172" s="240">
        <f>VResPlus!P139</f>
        <v>0</v>
      </c>
      <c r="F172" s="236">
        <f>VResPlus!Q139</f>
        <v>0</v>
      </c>
      <c r="G172" s="236">
        <f>VResPlus!S139</f>
        <v>0</v>
      </c>
      <c r="H172" s="236">
        <f>VResPlus!U139</f>
        <v>0</v>
      </c>
      <c r="I172" s="236">
        <f>VResPlus!V139</f>
        <v>0</v>
      </c>
      <c r="J172" s="241">
        <f>VResPlus!W139</f>
        <v>0</v>
      </c>
      <c r="K172" s="236">
        <f>VResPlus!X139</f>
        <v>0</v>
      </c>
      <c r="L172" s="237"/>
      <c r="M172" s="242">
        <v>0</v>
      </c>
      <c r="N172" s="238"/>
    </row>
    <row r="173" spans="3:14" x14ac:dyDescent="0.35">
      <c r="C173" s="239">
        <f t="shared" si="2"/>
        <v>135</v>
      </c>
      <c r="D173" s="243">
        <f>VResPlus!O140</f>
        <v>0</v>
      </c>
      <c r="E173" s="240">
        <f>VResPlus!P140</f>
        <v>0</v>
      </c>
      <c r="F173" s="236">
        <f>VResPlus!Q140</f>
        <v>0</v>
      </c>
      <c r="G173" s="236">
        <f>VResPlus!S140</f>
        <v>0</v>
      </c>
      <c r="H173" s="236">
        <f>VResPlus!U140</f>
        <v>0</v>
      </c>
      <c r="I173" s="236">
        <f>VResPlus!V140</f>
        <v>0</v>
      </c>
      <c r="J173" s="241">
        <f>VResPlus!W140</f>
        <v>0</v>
      </c>
      <c r="K173" s="236">
        <f>VResPlus!X140</f>
        <v>0</v>
      </c>
      <c r="L173" s="237"/>
      <c r="M173" s="242">
        <v>0</v>
      </c>
      <c r="N173" s="238"/>
    </row>
    <row r="174" spans="3:14" x14ac:dyDescent="0.35">
      <c r="C174" s="239">
        <f t="shared" si="2"/>
        <v>136</v>
      </c>
      <c r="D174" s="243">
        <f>VResPlus!O141</f>
        <v>0</v>
      </c>
      <c r="E174" s="240">
        <f>VResPlus!P141</f>
        <v>0</v>
      </c>
      <c r="F174" s="236">
        <f>VResPlus!Q141</f>
        <v>0</v>
      </c>
      <c r="G174" s="236">
        <f>VResPlus!S141</f>
        <v>0</v>
      </c>
      <c r="H174" s="236">
        <f>VResPlus!U141</f>
        <v>0</v>
      </c>
      <c r="I174" s="236">
        <f>VResPlus!V141</f>
        <v>0</v>
      </c>
      <c r="J174" s="241">
        <f>VResPlus!W141</f>
        <v>0</v>
      </c>
      <c r="K174" s="236">
        <f>VResPlus!X141</f>
        <v>0</v>
      </c>
      <c r="L174" s="237"/>
      <c r="M174" s="242">
        <v>0</v>
      </c>
      <c r="N174" s="238"/>
    </row>
    <row r="175" spans="3:14" x14ac:dyDescent="0.35">
      <c r="C175" s="239">
        <f t="shared" si="2"/>
        <v>137</v>
      </c>
      <c r="D175" s="243">
        <f>VResPlus!O142</f>
        <v>0</v>
      </c>
      <c r="E175" s="240">
        <f>VResPlus!P142</f>
        <v>0</v>
      </c>
      <c r="F175" s="236">
        <f>VResPlus!Q142</f>
        <v>0</v>
      </c>
      <c r="G175" s="236">
        <f>VResPlus!S142</f>
        <v>0</v>
      </c>
      <c r="H175" s="236">
        <f>VResPlus!U142</f>
        <v>0</v>
      </c>
      <c r="I175" s="236">
        <f>VResPlus!V142</f>
        <v>0</v>
      </c>
      <c r="J175" s="241">
        <f>VResPlus!W142</f>
        <v>0</v>
      </c>
      <c r="K175" s="236">
        <f>VResPlus!X142</f>
        <v>0</v>
      </c>
      <c r="L175" s="237"/>
      <c r="M175" s="242">
        <v>0</v>
      </c>
      <c r="N175" s="238"/>
    </row>
    <row r="176" spans="3:14" x14ac:dyDescent="0.35">
      <c r="C176" s="239">
        <f t="shared" si="2"/>
        <v>138</v>
      </c>
      <c r="D176" s="243">
        <f>VResPlus!O143</f>
        <v>0</v>
      </c>
      <c r="E176" s="240">
        <f>VResPlus!P143</f>
        <v>0</v>
      </c>
      <c r="F176" s="236">
        <f>VResPlus!Q143</f>
        <v>0</v>
      </c>
      <c r="G176" s="236">
        <f>VResPlus!S143</f>
        <v>0</v>
      </c>
      <c r="H176" s="236">
        <f>VResPlus!U143</f>
        <v>0</v>
      </c>
      <c r="I176" s="236">
        <f>VResPlus!V143</f>
        <v>0</v>
      </c>
      <c r="J176" s="241">
        <f>VResPlus!W143</f>
        <v>0</v>
      </c>
      <c r="K176" s="236">
        <f>VResPlus!X143</f>
        <v>0</v>
      </c>
      <c r="L176" s="237"/>
      <c r="M176" s="242">
        <v>0</v>
      </c>
      <c r="N176" s="238"/>
    </row>
    <row r="177" spans="3:14" x14ac:dyDescent="0.35">
      <c r="C177" s="239">
        <f t="shared" si="2"/>
        <v>139</v>
      </c>
      <c r="D177" s="243">
        <f>VResPlus!O144</f>
        <v>0</v>
      </c>
      <c r="E177" s="240">
        <f>VResPlus!P144</f>
        <v>0</v>
      </c>
      <c r="F177" s="236">
        <f>VResPlus!Q144</f>
        <v>0</v>
      </c>
      <c r="G177" s="236">
        <f>VResPlus!S144</f>
        <v>0</v>
      </c>
      <c r="H177" s="236">
        <f>VResPlus!U144</f>
        <v>0</v>
      </c>
      <c r="I177" s="236">
        <f>VResPlus!V144</f>
        <v>0</v>
      </c>
      <c r="J177" s="241">
        <f>VResPlus!W144</f>
        <v>0</v>
      </c>
      <c r="K177" s="236">
        <f>VResPlus!X144</f>
        <v>0</v>
      </c>
      <c r="L177" s="237"/>
      <c r="M177" s="242">
        <v>0</v>
      </c>
      <c r="N177" s="238"/>
    </row>
    <row r="178" spans="3:14" x14ac:dyDescent="0.35">
      <c r="C178" s="239">
        <f t="shared" si="2"/>
        <v>140</v>
      </c>
      <c r="D178" s="243">
        <f>VResPlus!O145</f>
        <v>0</v>
      </c>
      <c r="E178" s="240">
        <f>VResPlus!P145</f>
        <v>0</v>
      </c>
      <c r="F178" s="236">
        <f>VResPlus!Q145</f>
        <v>0</v>
      </c>
      <c r="G178" s="236">
        <f>VResPlus!S145</f>
        <v>0</v>
      </c>
      <c r="H178" s="236">
        <f>VResPlus!U145</f>
        <v>0</v>
      </c>
      <c r="I178" s="236">
        <f>VResPlus!V145</f>
        <v>0</v>
      </c>
      <c r="J178" s="241">
        <f>VResPlus!W145</f>
        <v>0</v>
      </c>
      <c r="K178" s="236">
        <f>VResPlus!X145</f>
        <v>0</v>
      </c>
      <c r="L178" s="237"/>
      <c r="M178" s="242">
        <v>0</v>
      </c>
      <c r="N178" s="238"/>
    </row>
    <row r="179" spans="3:14" x14ac:dyDescent="0.35">
      <c r="C179" s="239">
        <f t="shared" si="2"/>
        <v>141</v>
      </c>
      <c r="D179" s="243">
        <f>VResPlus!O146</f>
        <v>0</v>
      </c>
      <c r="E179" s="240">
        <f>VResPlus!P146</f>
        <v>0</v>
      </c>
      <c r="F179" s="236">
        <f>VResPlus!Q146</f>
        <v>0</v>
      </c>
      <c r="G179" s="236">
        <f>VResPlus!S146</f>
        <v>0</v>
      </c>
      <c r="H179" s="236">
        <f>VResPlus!U146</f>
        <v>0</v>
      </c>
      <c r="I179" s="236">
        <f>VResPlus!V146</f>
        <v>0</v>
      </c>
      <c r="J179" s="241">
        <f>VResPlus!W146</f>
        <v>0</v>
      </c>
      <c r="K179" s="236">
        <f>VResPlus!X146</f>
        <v>0</v>
      </c>
      <c r="L179" s="237"/>
      <c r="M179" s="242">
        <v>0</v>
      </c>
      <c r="N179" s="238"/>
    </row>
    <row r="180" spans="3:14" x14ac:dyDescent="0.35">
      <c r="C180" s="239">
        <f t="shared" si="2"/>
        <v>142</v>
      </c>
      <c r="D180" s="243">
        <f>VResPlus!O147</f>
        <v>0</v>
      </c>
      <c r="E180" s="240">
        <f>VResPlus!P147</f>
        <v>0</v>
      </c>
      <c r="F180" s="236">
        <f>VResPlus!Q147</f>
        <v>0</v>
      </c>
      <c r="G180" s="236">
        <f>VResPlus!S147</f>
        <v>0</v>
      </c>
      <c r="H180" s="236">
        <f>VResPlus!U147</f>
        <v>0</v>
      </c>
      <c r="I180" s="236">
        <f>VResPlus!V147</f>
        <v>0</v>
      </c>
      <c r="J180" s="241">
        <f>VResPlus!W147</f>
        <v>0</v>
      </c>
      <c r="K180" s="236">
        <f>VResPlus!X147</f>
        <v>0</v>
      </c>
      <c r="L180" s="237"/>
      <c r="M180" s="242">
        <v>0</v>
      </c>
      <c r="N180" s="238"/>
    </row>
    <row r="181" spans="3:14" x14ac:dyDescent="0.35">
      <c r="C181" s="244">
        <f t="shared" si="2"/>
        <v>143</v>
      </c>
      <c r="D181" s="245">
        <f>VResPlus!O148</f>
        <v>0</v>
      </c>
      <c r="E181" s="246">
        <f>VResPlus!P148</f>
        <v>0</v>
      </c>
      <c r="F181" s="247">
        <f>VResPlus!Q148</f>
        <v>0</v>
      </c>
      <c r="G181" s="247">
        <f>VResPlus!S148</f>
        <v>0</v>
      </c>
      <c r="H181" s="247">
        <f>VResPlus!U148</f>
        <v>0</v>
      </c>
      <c r="I181" s="247">
        <f>VResPlus!V148</f>
        <v>0</v>
      </c>
      <c r="J181" s="241">
        <f>VResPlus!W148</f>
        <v>0</v>
      </c>
      <c r="K181" s="247">
        <f>VResPlus!X148</f>
        <v>0</v>
      </c>
      <c r="L181" s="237"/>
      <c r="M181" s="242">
        <v>0</v>
      </c>
      <c r="N181" s="238"/>
    </row>
    <row r="182" spans="3:14" x14ac:dyDescent="0.35">
      <c r="C182" s="381">
        <f t="shared" si="2"/>
        <v>144</v>
      </c>
      <c r="D182" s="382">
        <f>VResPlus!O149</f>
        <v>0</v>
      </c>
      <c r="E182" s="383">
        <f>VResPlus!P149</f>
        <v>0</v>
      </c>
      <c r="F182" s="384">
        <f>VResPlus!Q149</f>
        <v>0</v>
      </c>
      <c r="G182" s="384">
        <f>VResPlus!S149</f>
        <v>0</v>
      </c>
      <c r="H182" s="384">
        <f>VResPlus!U149</f>
        <v>0</v>
      </c>
      <c r="I182" s="384">
        <f>VResPlus!V149</f>
        <v>0</v>
      </c>
      <c r="J182" s="385">
        <f>VResPlus!W149</f>
        <v>0</v>
      </c>
      <c r="K182" s="384">
        <f>VResPlus!X149</f>
        <v>0</v>
      </c>
      <c r="L182" s="237"/>
      <c r="M182" s="386">
        <v>0</v>
      </c>
      <c r="N182" s="238"/>
    </row>
    <row r="183" spans="3:14" x14ac:dyDescent="0.35">
      <c r="C183" s="248">
        <f t="shared" si="2"/>
        <v>145</v>
      </c>
      <c r="D183" s="249">
        <f>VResPlus!O150</f>
        <v>0</v>
      </c>
      <c r="E183" s="250">
        <f>VResPlus!P150</f>
        <v>0</v>
      </c>
      <c r="F183" s="251">
        <f>VResPlus!Q150</f>
        <v>0</v>
      </c>
      <c r="G183" s="251">
        <f>VResPlus!S150</f>
        <v>0</v>
      </c>
      <c r="H183" s="251">
        <f>VResPlus!U150</f>
        <v>0</v>
      </c>
      <c r="I183" s="251">
        <f>VResPlus!V150</f>
        <v>0</v>
      </c>
      <c r="J183" s="241">
        <f>VResPlus!W150</f>
        <v>0</v>
      </c>
      <c r="K183" s="251">
        <f>VResPlus!X150</f>
        <v>0</v>
      </c>
      <c r="L183" s="237"/>
      <c r="M183" s="242">
        <v>0</v>
      </c>
      <c r="N183" s="238"/>
    </row>
    <row r="184" spans="3:14" x14ac:dyDescent="0.35">
      <c r="C184" s="239">
        <f t="shared" si="2"/>
        <v>146</v>
      </c>
      <c r="D184" s="243">
        <f>VResPlus!O151</f>
        <v>0</v>
      </c>
      <c r="E184" s="240">
        <f>VResPlus!P151</f>
        <v>0</v>
      </c>
      <c r="F184" s="236">
        <f>VResPlus!Q151</f>
        <v>0</v>
      </c>
      <c r="G184" s="236">
        <f>VResPlus!S151</f>
        <v>0</v>
      </c>
      <c r="H184" s="236">
        <f>VResPlus!U151</f>
        <v>0</v>
      </c>
      <c r="I184" s="236">
        <f>VResPlus!V151</f>
        <v>0</v>
      </c>
      <c r="J184" s="241">
        <f>VResPlus!W151</f>
        <v>0</v>
      </c>
      <c r="K184" s="236">
        <f>VResPlus!X151</f>
        <v>0</v>
      </c>
      <c r="L184" s="237"/>
      <c r="M184" s="242">
        <v>0</v>
      </c>
      <c r="N184" s="238"/>
    </row>
    <row r="185" spans="3:14" x14ac:dyDescent="0.35">
      <c r="C185" s="239">
        <f t="shared" si="2"/>
        <v>147</v>
      </c>
      <c r="D185" s="243">
        <f>VResPlus!O152</f>
        <v>0</v>
      </c>
      <c r="E185" s="240">
        <f>VResPlus!P152</f>
        <v>0</v>
      </c>
      <c r="F185" s="236">
        <f>VResPlus!Q152</f>
        <v>0</v>
      </c>
      <c r="G185" s="236">
        <f>VResPlus!S152</f>
        <v>0</v>
      </c>
      <c r="H185" s="236">
        <f>VResPlus!U152</f>
        <v>0</v>
      </c>
      <c r="I185" s="236">
        <f>VResPlus!V152</f>
        <v>0</v>
      </c>
      <c r="J185" s="241">
        <f>VResPlus!W152</f>
        <v>0</v>
      </c>
      <c r="K185" s="236">
        <f>VResPlus!X152</f>
        <v>0</v>
      </c>
      <c r="L185" s="237"/>
      <c r="M185" s="242">
        <v>0</v>
      </c>
      <c r="N185" s="238"/>
    </row>
    <row r="186" spans="3:14" x14ac:dyDescent="0.35">
      <c r="C186" s="239">
        <f t="shared" si="2"/>
        <v>148</v>
      </c>
      <c r="D186" s="243">
        <f>VResPlus!O153</f>
        <v>0</v>
      </c>
      <c r="E186" s="240">
        <f>VResPlus!P153</f>
        <v>0</v>
      </c>
      <c r="F186" s="236">
        <f>VResPlus!Q153</f>
        <v>0</v>
      </c>
      <c r="G186" s="236">
        <f>VResPlus!S153</f>
        <v>0</v>
      </c>
      <c r="H186" s="236">
        <f>VResPlus!U153</f>
        <v>0</v>
      </c>
      <c r="I186" s="236">
        <f>VResPlus!V153</f>
        <v>0</v>
      </c>
      <c r="J186" s="241">
        <f>VResPlus!W153</f>
        <v>0</v>
      </c>
      <c r="K186" s="236">
        <f>VResPlus!X153</f>
        <v>0</v>
      </c>
      <c r="L186" s="237"/>
      <c r="M186" s="242">
        <v>0</v>
      </c>
      <c r="N186" s="238"/>
    </row>
    <row r="187" spans="3:14" x14ac:dyDescent="0.35">
      <c r="C187" s="239">
        <f t="shared" si="2"/>
        <v>149</v>
      </c>
      <c r="D187" s="243">
        <f>VResPlus!O154</f>
        <v>0</v>
      </c>
      <c r="E187" s="240">
        <f>VResPlus!P154</f>
        <v>0</v>
      </c>
      <c r="F187" s="236">
        <f>VResPlus!Q154</f>
        <v>0</v>
      </c>
      <c r="G187" s="236">
        <f>VResPlus!S154</f>
        <v>0</v>
      </c>
      <c r="H187" s="236">
        <f>VResPlus!U154</f>
        <v>0</v>
      </c>
      <c r="I187" s="236">
        <f>VResPlus!V154</f>
        <v>0</v>
      </c>
      <c r="J187" s="241">
        <f>VResPlus!W154</f>
        <v>0</v>
      </c>
      <c r="K187" s="236">
        <f>VResPlus!X154</f>
        <v>0</v>
      </c>
      <c r="L187" s="237"/>
      <c r="M187" s="242">
        <v>0</v>
      </c>
      <c r="N187" s="238"/>
    </row>
    <row r="188" spans="3:14" x14ac:dyDescent="0.35">
      <c r="C188" s="239">
        <f t="shared" si="2"/>
        <v>150</v>
      </c>
      <c r="D188" s="243">
        <f>VResPlus!O155</f>
        <v>0</v>
      </c>
      <c r="E188" s="240">
        <f>VResPlus!P155</f>
        <v>0</v>
      </c>
      <c r="F188" s="236">
        <f>VResPlus!Q155</f>
        <v>0</v>
      </c>
      <c r="G188" s="236">
        <f>VResPlus!S155</f>
        <v>0</v>
      </c>
      <c r="H188" s="236">
        <f>VResPlus!U155</f>
        <v>0</v>
      </c>
      <c r="I188" s="236">
        <f>VResPlus!V155</f>
        <v>0</v>
      </c>
      <c r="J188" s="241">
        <f>VResPlus!W155</f>
        <v>0</v>
      </c>
      <c r="K188" s="236">
        <f>VResPlus!X155</f>
        <v>0</v>
      </c>
      <c r="L188" s="237"/>
      <c r="M188" s="242">
        <v>0</v>
      </c>
      <c r="N188" s="238"/>
    </row>
    <row r="189" spans="3:14" x14ac:dyDescent="0.35">
      <c r="C189" s="239">
        <f t="shared" si="2"/>
        <v>151</v>
      </c>
      <c r="D189" s="243">
        <f>VResPlus!O156</f>
        <v>0</v>
      </c>
      <c r="E189" s="240">
        <f>VResPlus!P156</f>
        <v>0</v>
      </c>
      <c r="F189" s="236">
        <f>VResPlus!Q156</f>
        <v>0</v>
      </c>
      <c r="G189" s="236">
        <f>VResPlus!S156</f>
        <v>0</v>
      </c>
      <c r="H189" s="236">
        <f>VResPlus!U156</f>
        <v>0</v>
      </c>
      <c r="I189" s="236">
        <f>VResPlus!V156</f>
        <v>0</v>
      </c>
      <c r="J189" s="241">
        <f>VResPlus!W156</f>
        <v>0</v>
      </c>
      <c r="K189" s="236">
        <f>VResPlus!X156</f>
        <v>0</v>
      </c>
      <c r="L189" s="237"/>
      <c r="M189" s="242">
        <v>0</v>
      </c>
      <c r="N189" s="238"/>
    </row>
    <row r="190" spans="3:14" x14ac:dyDescent="0.35">
      <c r="C190" s="239">
        <f t="shared" si="2"/>
        <v>152</v>
      </c>
      <c r="D190" s="243">
        <f>VResPlus!O157</f>
        <v>0</v>
      </c>
      <c r="E190" s="240">
        <f>VResPlus!P157</f>
        <v>0</v>
      </c>
      <c r="F190" s="236">
        <f>VResPlus!Q157</f>
        <v>0</v>
      </c>
      <c r="G190" s="236">
        <f>VResPlus!S157</f>
        <v>0</v>
      </c>
      <c r="H190" s="236">
        <f>VResPlus!U157</f>
        <v>0</v>
      </c>
      <c r="I190" s="236">
        <f>VResPlus!V157</f>
        <v>0</v>
      </c>
      <c r="J190" s="241">
        <f>VResPlus!W157</f>
        <v>0</v>
      </c>
      <c r="K190" s="236">
        <f>VResPlus!X157</f>
        <v>0</v>
      </c>
      <c r="L190" s="237"/>
      <c r="M190" s="242">
        <v>0</v>
      </c>
      <c r="N190" s="238"/>
    </row>
    <row r="191" spans="3:14" x14ac:dyDescent="0.35">
      <c r="C191" s="239">
        <f t="shared" si="2"/>
        <v>153</v>
      </c>
      <c r="D191" s="243">
        <f>VResPlus!O158</f>
        <v>0</v>
      </c>
      <c r="E191" s="240">
        <f>VResPlus!P158</f>
        <v>0</v>
      </c>
      <c r="F191" s="236">
        <f>VResPlus!Q158</f>
        <v>0</v>
      </c>
      <c r="G191" s="236">
        <f>VResPlus!S158</f>
        <v>0</v>
      </c>
      <c r="H191" s="236">
        <f>VResPlus!U158</f>
        <v>0</v>
      </c>
      <c r="I191" s="236">
        <f>VResPlus!V158</f>
        <v>0</v>
      </c>
      <c r="J191" s="241">
        <f>VResPlus!W158</f>
        <v>0</v>
      </c>
      <c r="K191" s="236">
        <f>VResPlus!X158</f>
        <v>0</v>
      </c>
      <c r="L191" s="237"/>
      <c r="M191" s="242">
        <v>0</v>
      </c>
      <c r="N191" s="238"/>
    </row>
    <row r="192" spans="3:14" x14ac:dyDescent="0.35">
      <c r="C192" s="239">
        <f t="shared" si="2"/>
        <v>154</v>
      </c>
      <c r="D192" s="243">
        <f>VResPlus!O159</f>
        <v>0</v>
      </c>
      <c r="E192" s="240">
        <f>VResPlus!P159</f>
        <v>0</v>
      </c>
      <c r="F192" s="236">
        <f>VResPlus!Q159</f>
        <v>0</v>
      </c>
      <c r="G192" s="236">
        <f>VResPlus!S159</f>
        <v>0</v>
      </c>
      <c r="H192" s="236">
        <f>VResPlus!U159</f>
        <v>0</v>
      </c>
      <c r="I192" s="236">
        <f>VResPlus!V159</f>
        <v>0</v>
      </c>
      <c r="J192" s="241">
        <f>VResPlus!W159</f>
        <v>0</v>
      </c>
      <c r="K192" s="236">
        <f>VResPlus!X159</f>
        <v>0</v>
      </c>
      <c r="L192" s="237"/>
      <c r="M192" s="242">
        <v>0</v>
      </c>
      <c r="N192" s="238"/>
    </row>
    <row r="193" spans="3:14" x14ac:dyDescent="0.35">
      <c r="C193" s="244">
        <f t="shared" si="2"/>
        <v>155</v>
      </c>
      <c r="D193" s="245">
        <f>VResPlus!O160</f>
        <v>0</v>
      </c>
      <c r="E193" s="246">
        <f>VResPlus!P160</f>
        <v>0</v>
      </c>
      <c r="F193" s="247">
        <f>VResPlus!Q160</f>
        <v>0</v>
      </c>
      <c r="G193" s="247">
        <f>VResPlus!S160</f>
        <v>0</v>
      </c>
      <c r="H193" s="247">
        <f>VResPlus!U160</f>
        <v>0</v>
      </c>
      <c r="I193" s="247">
        <f>VResPlus!V160</f>
        <v>0</v>
      </c>
      <c r="J193" s="241">
        <f>VResPlus!W160</f>
        <v>0</v>
      </c>
      <c r="K193" s="247">
        <f>VResPlus!X160</f>
        <v>0</v>
      </c>
      <c r="L193" s="237"/>
      <c r="M193" s="242">
        <v>0</v>
      </c>
      <c r="N193" s="238"/>
    </row>
    <row r="194" spans="3:14" x14ac:dyDescent="0.35">
      <c r="C194" s="381">
        <f t="shared" si="2"/>
        <v>156</v>
      </c>
      <c r="D194" s="382">
        <f>VResPlus!O161</f>
        <v>0</v>
      </c>
      <c r="E194" s="383">
        <f>VResPlus!P161</f>
        <v>0</v>
      </c>
      <c r="F194" s="384">
        <f>VResPlus!Q161</f>
        <v>0</v>
      </c>
      <c r="G194" s="384">
        <f>VResPlus!S161</f>
        <v>0</v>
      </c>
      <c r="H194" s="384">
        <f>VResPlus!U161</f>
        <v>0</v>
      </c>
      <c r="I194" s="384">
        <f>VResPlus!V161</f>
        <v>0</v>
      </c>
      <c r="J194" s="385">
        <f>VResPlus!W161</f>
        <v>0</v>
      </c>
      <c r="K194" s="384">
        <f>VResPlus!X161</f>
        <v>0</v>
      </c>
      <c r="L194" s="237"/>
      <c r="M194" s="386">
        <v>0</v>
      </c>
      <c r="N194" s="238"/>
    </row>
    <row r="195" spans="3:14" x14ac:dyDescent="0.35">
      <c r="C195" s="248">
        <f t="shared" si="2"/>
        <v>157</v>
      </c>
      <c r="D195" s="249">
        <f>VResPlus!O162</f>
        <v>0</v>
      </c>
      <c r="E195" s="250">
        <f>VResPlus!P162</f>
        <v>0</v>
      </c>
      <c r="F195" s="251">
        <f>VResPlus!Q162</f>
        <v>0</v>
      </c>
      <c r="G195" s="251">
        <f>VResPlus!S162</f>
        <v>0</v>
      </c>
      <c r="H195" s="251">
        <f>VResPlus!U162</f>
        <v>0</v>
      </c>
      <c r="I195" s="251">
        <f>VResPlus!V162</f>
        <v>0</v>
      </c>
      <c r="J195" s="241">
        <f>VResPlus!W162</f>
        <v>0</v>
      </c>
      <c r="K195" s="251">
        <f>VResPlus!X162</f>
        <v>0</v>
      </c>
      <c r="L195" s="237"/>
      <c r="M195" s="242">
        <v>0</v>
      </c>
      <c r="N195" s="238"/>
    </row>
    <row r="196" spans="3:14" x14ac:dyDescent="0.35">
      <c r="C196" s="239">
        <f t="shared" si="2"/>
        <v>158</v>
      </c>
      <c r="D196" s="243">
        <f>VResPlus!O163</f>
        <v>0</v>
      </c>
      <c r="E196" s="240">
        <f>VResPlus!P163</f>
        <v>0</v>
      </c>
      <c r="F196" s="236">
        <f>VResPlus!Q163</f>
        <v>0</v>
      </c>
      <c r="G196" s="236">
        <f>VResPlus!S163</f>
        <v>0</v>
      </c>
      <c r="H196" s="236">
        <f>VResPlus!U163</f>
        <v>0</v>
      </c>
      <c r="I196" s="236">
        <f>VResPlus!V163</f>
        <v>0</v>
      </c>
      <c r="J196" s="241">
        <f>VResPlus!W163</f>
        <v>0</v>
      </c>
      <c r="K196" s="236">
        <f>VResPlus!X163</f>
        <v>0</v>
      </c>
      <c r="L196" s="237"/>
      <c r="M196" s="242">
        <v>0</v>
      </c>
      <c r="N196" s="238"/>
    </row>
    <row r="197" spans="3:14" x14ac:dyDescent="0.35">
      <c r="C197" s="239">
        <f t="shared" si="2"/>
        <v>159</v>
      </c>
      <c r="D197" s="243">
        <f>VResPlus!O164</f>
        <v>0</v>
      </c>
      <c r="E197" s="240">
        <f>VResPlus!P164</f>
        <v>0</v>
      </c>
      <c r="F197" s="236">
        <f>VResPlus!Q164</f>
        <v>0</v>
      </c>
      <c r="G197" s="236">
        <f>VResPlus!S164</f>
        <v>0</v>
      </c>
      <c r="H197" s="236">
        <f>VResPlus!U164</f>
        <v>0</v>
      </c>
      <c r="I197" s="236">
        <f>VResPlus!V164</f>
        <v>0</v>
      </c>
      <c r="J197" s="241">
        <f>VResPlus!W164</f>
        <v>0</v>
      </c>
      <c r="K197" s="236">
        <f>VResPlus!X164</f>
        <v>0</v>
      </c>
      <c r="L197" s="237"/>
      <c r="M197" s="242">
        <v>0</v>
      </c>
      <c r="N197" s="238"/>
    </row>
    <row r="198" spans="3:14" x14ac:dyDescent="0.35">
      <c r="C198" s="239">
        <f t="shared" si="2"/>
        <v>160</v>
      </c>
      <c r="D198" s="243">
        <f>VResPlus!O165</f>
        <v>0</v>
      </c>
      <c r="E198" s="240">
        <f>VResPlus!P165</f>
        <v>0</v>
      </c>
      <c r="F198" s="236">
        <f>VResPlus!Q165</f>
        <v>0</v>
      </c>
      <c r="G198" s="236">
        <f>VResPlus!S165</f>
        <v>0</v>
      </c>
      <c r="H198" s="236">
        <f>VResPlus!U165</f>
        <v>0</v>
      </c>
      <c r="I198" s="236">
        <f>VResPlus!V165</f>
        <v>0</v>
      </c>
      <c r="J198" s="241">
        <f>VResPlus!W165</f>
        <v>0</v>
      </c>
      <c r="K198" s="236">
        <f>VResPlus!X165</f>
        <v>0</v>
      </c>
      <c r="L198" s="237"/>
      <c r="M198" s="242">
        <v>0</v>
      </c>
      <c r="N198" s="238"/>
    </row>
    <row r="199" spans="3:14" x14ac:dyDescent="0.35">
      <c r="C199" s="239">
        <f t="shared" si="2"/>
        <v>161</v>
      </c>
      <c r="D199" s="243">
        <f>VResPlus!O166</f>
        <v>0</v>
      </c>
      <c r="E199" s="240">
        <f>VResPlus!P166</f>
        <v>0</v>
      </c>
      <c r="F199" s="236">
        <f>VResPlus!Q166</f>
        <v>0</v>
      </c>
      <c r="G199" s="236">
        <f>VResPlus!S166</f>
        <v>0</v>
      </c>
      <c r="H199" s="236">
        <f>VResPlus!U166</f>
        <v>0</v>
      </c>
      <c r="I199" s="236">
        <f>VResPlus!V166</f>
        <v>0</v>
      </c>
      <c r="J199" s="241">
        <f>VResPlus!W166</f>
        <v>0</v>
      </c>
      <c r="K199" s="236">
        <f>VResPlus!X166</f>
        <v>0</v>
      </c>
      <c r="L199" s="237"/>
      <c r="M199" s="242">
        <v>0</v>
      </c>
      <c r="N199" s="238"/>
    </row>
    <row r="200" spans="3:14" x14ac:dyDescent="0.35">
      <c r="C200" s="239">
        <f t="shared" si="2"/>
        <v>162</v>
      </c>
      <c r="D200" s="243">
        <f>VResPlus!O167</f>
        <v>0</v>
      </c>
      <c r="E200" s="240">
        <f>VResPlus!P167</f>
        <v>0</v>
      </c>
      <c r="F200" s="236">
        <f>VResPlus!Q167</f>
        <v>0</v>
      </c>
      <c r="G200" s="236">
        <f>VResPlus!S167</f>
        <v>0</v>
      </c>
      <c r="H200" s="236">
        <f>VResPlus!U167</f>
        <v>0</v>
      </c>
      <c r="I200" s="236">
        <f>VResPlus!V167</f>
        <v>0</v>
      </c>
      <c r="J200" s="241">
        <f>VResPlus!W167</f>
        <v>0</v>
      </c>
      <c r="K200" s="236">
        <f>VResPlus!X167</f>
        <v>0</v>
      </c>
      <c r="L200" s="237"/>
      <c r="M200" s="242">
        <v>0</v>
      </c>
      <c r="N200" s="238"/>
    </row>
    <row r="201" spans="3:14" x14ac:dyDescent="0.35">
      <c r="C201" s="239">
        <f t="shared" si="2"/>
        <v>163</v>
      </c>
      <c r="D201" s="243">
        <f>VResPlus!O168</f>
        <v>0</v>
      </c>
      <c r="E201" s="240">
        <f>VResPlus!P168</f>
        <v>0</v>
      </c>
      <c r="F201" s="236">
        <f>VResPlus!Q168</f>
        <v>0</v>
      </c>
      <c r="G201" s="236">
        <f>VResPlus!S168</f>
        <v>0</v>
      </c>
      <c r="H201" s="236">
        <f>VResPlus!U168</f>
        <v>0</v>
      </c>
      <c r="I201" s="236">
        <f>VResPlus!V168</f>
        <v>0</v>
      </c>
      <c r="J201" s="241">
        <f>VResPlus!W168</f>
        <v>0</v>
      </c>
      <c r="K201" s="236">
        <f>VResPlus!X168</f>
        <v>0</v>
      </c>
      <c r="L201" s="237"/>
      <c r="M201" s="242">
        <v>0</v>
      </c>
      <c r="N201" s="238"/>
    </row>
    <row r="202" spans="3:14" x14ac:dyDescent="0.35">
      <c r="C202" s="239">
        <f t="shared" si="2"/>
        <v>164</v>
      </c>
      <c r="D202" s="243">
        <f>VResPlus!O169</f>
        <v>0</v>
      </c>
      <c r="E202" s="240">
        <f>VResPlus!P169</f>
        <v>0</v>
      </c>
      <c r="F202" s="236">
        <f>VResPlus!Q169</f>
        <v>0</v>
      </c>
      <c r="G202" s="236">
        <f>VResPlus!S169</f>
        <v>0</v>
      </c>
      <c r="H202" s="236">
        <f>VResPlus!U169</f>
        <v>0</v>
      </c>
      <c r="I202" s="236">
        <f>VResPlus!V169</f>
        <v>0</v>
      </c>
      <c r="J202" s="241">
        <f>VResPlus!W169</f>
        <v>0</v>
      </c>
      <c r="K202" s="236">
        <f>VResPlus!X169</f>
        <v>0</v>
      </c>
      <c r="L202" s="237"/>
      <c r="M202" s="242">
        <v>0</v>
      </c>
      <c r="N202" s="238"/>
    </row>
    <row r="203" spans="3:14" x14ac:dyDescent="0.35">
      <c r="C203" s="239">
        <f t="shared" si="2"/>
        <v>165</v>
      </c>
      <c r="D203" s="243">
        <f>VResPlus!O170</f>
        <v>0</v>
      </c>
      <c r="E203" s="240">
        <f>VResPlus!P170</f>
        <v>0</v>
      </c>
      <c r="F203" s="236">
        <f>VResPlus!Q170</f>
        <v>0</v>
      </c>
      <c r="G203" s="236">
        <f>VResPlus!S170</f>
        <v>0</v>
      </c>
      <c r="H203" s="236">
        <f>VResPlus!U170</f>
        <v>0</v>
      </c>
      <c r="I203" s="236">
        <f>VResPlus!V170</f>
        <v>0</v>
      </c>
      <c r="J203" s="241">
        <f>VResPlus!W170</f>
        <v>0</v>
      </c>
      <c r="K203" s="236">
        <f>VResPlus!X170</f>
        <v>0</v>
      </c>
      <c r="L203" s="237"/>
      <c r="M203" s="242">
        <v>0</v>
      </c>
      <c r="N203" s="238"/>
    </row>
    <row r="204" spans="3:14" x14ac:dyDescent="0.35">
      <c r="C204" s="239">
        <f t="shared" si="2"/>
        <v>166</v>
      </c>
      <c r="D204" s="243">
        <f>VResPlus!O171</f>
        <v>0</v>
      </c>
      <c r="E204" s="240">
        <f>VResPlus!P171</f>
        <v>0</v>
      </c>
      <c r="F204" s="236">
        <f>VResPlus!Q171</f>
        <v>0</v>
      </c>
      <c r="G204" s="236">
        <f>VResPlus!S171</f>
        <v>0</v>
      </c>
      <c r="H204" s="236">
        <f>VResPlus!U171</f>
        <v>0</v>
      </c>
      <c r="I204" s="236">
        <f>VResPlus!V171</f>
        <v>0</v>
      </c>
      <c r="J204" s="241">
        <f>VResPlus!W171</f>
        <v>0</v>
      </c>
      <c r="K204" s="236">
        <f>VResPlus!X171</f>
        <v>0</v>
      </c>
      <c r="L204" s="237"/>
      <c r="M204" s="242">
        <v>0</v>
      </c>
      <c r="N204" s="238"/>
    </row>
    <row r="205" spans="3:14" x14ac:dyDescent="0.35">
      <c r="C205" s="239">
        <f t="shared" si="2"/>
        <v>167</v>
      </c>
      <c r="D205" s="243">
        <f>VResPlus!O172</f>
        <v>0</v>
      </c>
      <c r="E205" s="240">
        <f>VResPlus!P172</f>
        <v>0</v>
      </c>
      <c r="F205" s="236">
        <f>VResPlus!Q172</f>
        <v>0</v>
      </c>
      <c r="G205" s="236">
        <f>VResPlus!S172</f>
        <v>0</v>
      </c>
      <c r="H205" s="236">
        <f>VResPlus!U172</f>
        <v>0</v>
      </c>
      <c r="I205" s="236">
        <f>VResPlus!V172</f>
        <v>0</v>
      </c>
      <c r="J205" s="241">
        <f>VResPlus!W172</f>
        <v>0</v>
      </c>
      <c r="K205" s="236">
        <f>VResPlus!X172</f>
        <v>0</v>
      </c>
      <c r="L205" s="237"/>
      <c r="M205" s="242">
        <v>0</v>
      </c>
      <c r="N205" s="238"/>
    </row>
    <row r="206" spans="3:14" x14ac:dyDescent="0.35">
      <c r="C206" s="381">
        <f t="shared" si="2"/>
        <v>168</v>
      </c>
      <c r="D206" s="382">
        <f>VResPlus!O173</f>
        <v>0</v>
      </c>
      <c r="E206" s="383">
        <f>VResPlus!P173</f>
        <v>0</v>
      </c>
      <c r="F206" s="384">
        <f>VResPlus!Q173</f>
        <v>0</v>
      </c>
      <c r="G206" s="384">
        <f>VResPlus!S173</f>
        <v>0</v>
      </c>
      <c r="H206" s="384">
        <f>VResPlus!U173</f>
        <v>0</v>
      </c>
      <c r="I206" s="384">
        <f>VResPlus!V173</f>
        <v>0</v>
      </c>
      <c r="J206" s="385">
        <f>VResPlus!W173</f>
        <v>0</v>
      </c>
      <c r="K206" s="384">
        <f>VResPlus!X173</f>
        <v>0</v>
      </c>
      <c r="L206" s="237"/>
      <c r="M206" s="386">
        <v>0</v>
      </c>
      <c r="N206" s="238"/>
    </row>
    <row r="207" spans="3:14" x14ac:dyDescent="0.35">
      <c r="C207" s="239">
        <f t="shared" si="2"/>
        <v>169</v>
      </c>
      <c r="D207" s="243">
        <f>VResPlus!O174</f>
        <v>0</v>
      </c>
      <c r="E207" s="240">
        <f>VResPlus!P174</f>
        <v>0</v>
      </c>
      <c r="F207" s="236">
        <f>VResPlus!Q174</f>
        <v>0</v>
      </c>
      <c r="G207" s="236">
        <f>VResPlus!S174</f>
        <v>0</v>
      </c>
      <c r="H207" s="236">
        <f>VResPlus!U174</f>
        <v>0</v>
      </c>
      <c r="I207" s="236">
        <f>VResPlus!V174</f>
        <v>0</v>
      </c>
      <c r="J207" s="241">
        <f>VResPlus!W174</f>
        <v>0</v>
      </c>
      <c r="K207" s="236">
        <f>VResPlus!X174</f>
        <v>0</v>
      </c>
      <c r="L207" s="237"/>
      <c r="M207" s="242">
        <v>0</v>
      </c>
      <c r="N207" s="238"/>
    </row>
    <row r="208" spans="3:14" x14ac:dyDescent="0.35">
      <c r="C208" s="239">
        <f t="shared" si="2"/>
        <v>170</v>
      </c>
      <c r="D208" s="243">
        <f>VResPlus!O175</f>
        <v>0</v>
      </c>
      <c r="E208" s="240">
        <f>VResPlus!P175</f>
        <v>0</v>
      </c>
      <c r="F208" s="236">
        <f>VResPlus!Q175</f>
        <v>0</v>
      </c>
      <c r="G208" s="236">
        <f>VResPlus!S175</f>
        <v>0</v>
      </c>
      <c r="H208" s="236">
        <f>VResPlus!U175</f>
        <v>0</v>
      </c>
      <c r="I208" s="236">
        <f>VResPlus!V175</f>
        <v>0</v>
      </c>
      <c r="J208" s="241">
        <f>VResPlus!W175</f>
        <v>0</v>
      </c>
      <c r="K208" s="236">
        <f>VResPlus!X175</f>
        <v>0</v>
      </c>
      <c r="L208" s="237"/>
      <c r="M208" s="242">
        <v>0</v>
      </c>
      <c r="N208" s="238"/>
    </row>
    <row r="209" spans="3:14" x14ac:dyDescent="0.35">
      <c r="C209" s="239">
        <f t="shared" si="2"/>
        <v>171</v>
      </c>
      <c r="D209" s="243">
        <f>VResPlus!O176</f>
        <v>0</v>
      </c>
      <c r="E209" s="240">
        <f>VResPlus!P176</f>
        <v>0</v>
      </c>
      <c r="F209" s="236">
        <f>VResPlus!Q176</f>
        <v>0</v>
      </c>
      <c r="G209" s="236">
        <f>VResPlus!S176</f>
        <v>0</v>
      </c>
      <c r="H209" s="236">
        <f>VResPlus!U176</f>
        <v>0</v>
      </c>
      <c r="I209" s="236">
        <f>VResPlus!V176</f>
        <v>0</v>
      </c>
      <c r="J209" s="241">
        <f>VResPlus!W176</f>
        <v>0</v>
      </c>
      <c r="K209" s="236">
        <f>VResPlus!X176</f>
        <v>0</v>
      </c>
      <c r="L209" s="237"/>
      <c r="M209" s="242">
        <v>0</v>
      </c>
      <c r="N209" s="238"/>
    </row>
    <row r="210" spans="3:14" x14ac:dyDescent="0.35">
      <c r="C210" s="239">
        <f t="shared" si="2"/>
        <v>172</v>
      </c>
      <c r="D210" s="243">
        <f>VResPlus!O177</f>
        <v>0</v>
      </c>
      <c r="E210" s="240">
        <f>VResPlus!P177</f>
        <v>0</v>
      </c>
      <c r="F210" s="236">
        <f>VResPlus!Q177</f>
        <v>0</v>
      </c>
      <c r="G210" s="236">
        <f>VResPlus!S177</f>
        <v>0</v>
      </c>
      <c r="H210" s="236">
        <f>VResPlus!U177</f>
        <v>0</v>
      </c>
      <c r="I210" s="236">
        <f>VResPlus!V177</f>
        <v>0</v>
      </c>
      <c r="J210" s="241">
        <f>VResPlus!W177</f>
        <v>0</v>
      </c>
      <c r="K210" s="236">
        <f>VResPlus!X177</f>
        <v>0</v>
      </c>
      <c r="L210" s="237"/>
      <c r="M210" s="242">
        <v>0</v>
      </c>
      <c r="N210" s="238"/>
    </row>
    <row r="211" spans="3:14" x14ac:dyDescent="0.35">
      <c r="C211" s="239">
        <f t="shared" si="2"/>
        <v>173</v>
      </c>
      <c r="D211" s="243">
        <f>VResPlus!O178</f>
        <v>0</v>
      </c>
      <c r="E211" s="240">
        <f>VResPlus!P178</f>
        <v>0</v>
      </c>
      <c r="F211" s="236">
        <f>VResPlus!Q178</f>
        <v>0</v>
      </c>
      <c r="G211" s="236">
        <f>VResPlus!S178</f>
        <v>0</v>
      </c>
      <c r="H211" s="236">
        <f>VResPlus!U178</f>
        <v>0</v>
      </c>
      <c r="I211" s="236">
        <f>VResPlus!V178</f>
        <v>0</v>
      </c>
      <c r="J211" s="241">
        <f>VResPlus!W178</f>
        <v>0</v>
      </c>
      <c r="K211" s="236">
        <f>VResPlus!X178</f>
        <v>0</v>
      </c>
      <c r="L211" s="237"/>
      <c r="M211" s="242">
        <v>0</v>
      </c>
      <c r="N211" s="238"/>
    </row>
    <row r="212" spans="3:14" x14ac:dyDescent="0.35">
      <c r="C212" s="239">
        <f t="shared" si="2"/>
        <v>174</v>
      </c>
      <c r="D212" s="243">
        <f>VResPlus!O179</f>
        <v>0</v>
      </c>
      <c r="E212" s="240">
        <f>VResPlus!P179</f>
        <v>0</v>
      </c>
      <c r="F212" s="236">
        <f>VResPlus!Q179</f>
        <v>0</v>
      </c>
      <c r="G212" s="236">
        <f>VResPlus!S179</f>
        <v>0</v>
      </c>
      <c r="H212" s="236">
        <f>VResPlus!U179</f>
        <v>0</v>
      </c>
      <c r="I212" s="236">
        <f>VResPlus!V179</f>
        <v>0</v>
      </c>
      <c r="J212" s="241">
        <f>VResPlus!W179</f>
        <v>0</v>
      </c>
      <c r="K212" s="236">
        <f>VResPlus!X179</f>
        <v>0</v>
      </c>
      <c r="L212" s="237"/>
      <c r="M212" s="242">
        <v>0</v>
      </c>
      <c r="N212" s="238"/>
    </row>
    <row r="213" spans="3:14" x14ac:dyDescent="0.35">
      <c r="C213" s="239">
        <f t="shared" si="2"/>
        <v>175</v>
      </c>
      <c r="D213" s="243">
        <f>VResPlus!O180</f>
        <v>0</v>
      </c>
      <c r="E213" s="240">
        <f>VResPlus!P180</f>
        <v>0</v>
      </c>
      <c r="F213" s="236">
        <f>VResPlus!Q180</f>
        <v>0</v>
      </c>
      <c r="G213" s="236">
        <f>VResPlus!S180</f>
        <v>0</v>
      </c>
      <c r="H213" s="236">
        <f>VResPlus!U180</f>
        <v>0</v>
      </c>
      <c r="I213" s="236">
        <f>VResPlus!V180</f>
        <v>0</v>
      </c>
      <c r="J213" s="241">
        <f>VResPlus!W180</f>
        <v>0</v>
      </c>
      <c r="K213" s="236">
        <f>VResPlus!X180</f>
        <v>0</v>
      </c>
      <c r="L213" s="237"/>
      <c r="M213" s="242">
        <v>0</v>
      </c>
      <c r="N213" s="238"/>
    </row>
    <row r="214" spans="3:14" x14ac:dyDescent="0.35">
      <c r="C214" s="239">
        <f t="shared" si="2"/>
        <v>176</v>
      </c>
      <c r="D214" s="243">
        <f>VResPlus!O181</f>
        <v>0</v>
      </c>
      <c r="E214" s="240">
        <f>VResPlus!P181</f>
        <v>0</v>
      </c>
      <c r="F214" s="236">
        <f>VResPlus!Q181</f>
        <v>0</v>
      </c>
      <c r="G214" s="236">
        <f>VResPlus!S181</f>
        <v>0</v>
      </c>
      <c r="H214" s="236">
        <f>VResPlus!U181</f>
        <v>0</v>
      </c>
      <c r="I214" s="236">
        <f>VResPlus!V181</f>
        <v>0</v>
      </c>
      <c r="J214" s="241">
        <f>VResPlus!W181</f>
        <v>0</v>
      </c>
      <c r="K214" s="236">
        <f>VResPlus!X181</f>
        <v>0</v>
      </c>
      <c r="L214" s="237"/>
      <c r="M214" s="242">
        <v>0</v>
      </c>
      <c r="N214" s="238"/>
    </row>
    <row r="215" spans="3:14" x14ac:dyDescent="0.35">
      <c r="C215" s="239">
        <f t="shared" si="2"/>
        <v>177</v>
      </c>
      <c r="D215" s="243">
        <f>VResPlus!O182</f>
        <v>0</v>
      </c>
      <c r="E215" s="240">
        <f>VResPlus!P182</f>
        <v>0</v>
      </c>
      <c r="F215" s="236">
        <f>VResPlus!Q182</f>
        <v>0</v>
      </c>
      <c r="G215" s="236">
        <f>VResPlus!S182</f>
        <v>0</v>
      </c>
      <c r="H215" s="236">
        <f>VResPlus!U182</f>
        <v>0</v>
      </c>
      <c r="I215" s="236">
        <f>VResPlus!V182</f>
        <v>0</v>
      </c>
      <c r="J215" s="241">
        <f>VResPlus!W182</f>
        <v>0</v>
      </c>
      <c r="K215" s="236">
        <f>VResPlus!X182</f>
        <v>0</v>
      </c>
      <c r="L215" s="237"/>
      <c r="M215" s="242">
        <v>0</v>
      </c>
      <c r="N215" s="238"/>
    </row>
    <row r="216" spans="3:14" x14ac:dyDescent="0.35">
      <c r="C216" s="239">
        <f t="shared" si="2"/>
        <v>178</v>
      </c>
      <c r="D216" s="243">
        <f>VResPlus!O183</f>
        <v>0</v>
      </c>
      <c r="E216" s="240">
        <f>VResPlus!P183</f>
        <v>0</v>
      </c>
      <c r="F216" s="236">
        <f>VResPlus!Q183</f>
        <v>0</v>
      </c>
      <c r="G216" s="236">
        <f>VResPlus!S183</f>
        <v>0</v>
      </c>
      <c r="H216" s="236">
        <f>VResPlus!U183</f>
        <v>0</v>
      </c>
      <c r="I216" s="236">
        <f>VResPlus!V183</f>
        <v>0</v>
      </c>
      <c r="J216" s="241">
        <f>VResPlus!W183</f>
        <v>0</v>
      </c>
      <c r="K216" s="236">
        <f>VResPlus!X183</f>
        <v>0</v>
      </c>
      <c r="L216" s="237"/>
      <c r="M216" s="242">
        <v>0</v>
      </c>
      <c r="N216" s="238"/>
    </row>
    <row r="217" spans="3:14" x14ac:dyDescent="0.35">
      <c r="C217" s="239">
        <f t="shared" si="2"/>
        <v>179</v>
      </c>
      <c r="D217" s="243">
        <f>VResPlus!O184</f>
        <v>0</v>
      </c>
      <c r="E217" s="240">
        <f>VResPlus!P184</f>
        <v>0</v>
      </c>
      <c r="F217" s="236">
        <f>VResPlus!Q184</f>
        <v>0</v>
      </c>
      <c r="G217" s="236">
        <f>VResPlus!S184</f>
        <v>0</v>
      </c>
      <c r="H217" s="236">
        <f>VResPlus!U184</f>
        <v>0</v>
      </c>
      <c r="I217" s="236">
        <f>VResPlus!V184</f>
        <v>0</v>
      </c>
      <c r="J217" s="241">
        <f>VResPlus!W184</f>
        <v>0</v>
      </c>
      <c r="K217" s="236">
        <f>VResPlus!X184</f>
        <v>0</v>
      </c>
      <c r="L217" s="237"/>
      <c r="M217" s="242">
        <v>0</v>
      </c>
      <c r="N217" s="238"/>
    </row>
    <row r="218" spans="3:14" x14ac:dyDescent="0.35">
      <c r="C218" s="381">
        <f t="shared" si="2"/>
        <v>180</v>
      </c>
      <c r="D218" s="382">
        <f>VResPlus!O185</f>
        <v>0</v>
      </c>
      <c r="E218" s="383">
        <f>VResPlus!P185</f>
        <v>0</v>
      </c>
      <c r="F218" s="384">
        <f>VResPlus!Q185</f>
        <v>0</v>
      </c>
      <c r="G218" s="384">
        <f>VResPlus!S185</f>
        <v>0</v>
      </c>
      <c r="H218" s="384">
        <f>VResPlus!U185</f>
        <v>0</v>
      </c>
      <c r="I218" s="384">
        <f>VResPlus!V185</f>
        <v>0</v>
      </c>
      <c r="J218" s="385">
        <f>VResPlus!W185</f>
        <v>0</v>
      </c>
      <c r="K218" s="384">
        <f>VResPlus!X185</f>
        <v>0</v>
      </c>
      <c r="L218" s="237"/>
      <c r="M218" s="386">
        <v>0</v>
      </c>
      <c r="N218" s="238"/>
    </row>
    <row r="219" spans="3:14" x14ac:dyDescent="0.35">
      <c r="C219" s="252">
        <f t="shared" si="2"/>
        <v>181</v>
      </c>
      <c r="D219" s="243">
        <f>VResPlus!O186</f>
        <v>0</v>
      </c>
      <c r="E219" s="240">
        <f>VResPlus!P186</f>
        <v>0</v>
      </c>
      <c r="F219" s="236">
        <f>VResPlus!Q186</f>
        <v>0</v>
      </c>
      <c r="G219" s="236">
        <f>VResPlus!S186</f>
        <v>0</v>
      </c>
      <c r="H219" s="236">
        <f>VResPlus!U186</f>
        <v>0</v>
      </c>
      <c r="I219" s="236">
        <f>VResPlus!V186</f>
        <v>0</v>
      </c>
      <c r="J219" s="241">
        <f>VResPlus!W186</f>
        <v>0</v>
      </c>
      <c r="K219" s="236">
        <f>VResPlus!X186</f>
        <v>0</v>
      </c>
      <c r="L219" s="237"/>
      <c r="M219" s="242">
        <v>0</v>
      </c>
      <c r="N219" s="238"/>
    </row>
    <row r="220" spans="3:14" x14ac:dyDescent="0.35">
      <c r="C220" s="252">
        <f t="shared" si="2"/>
        <v>182</v>
      </c>
      <c r="D220" s="243">
        <f>VResPlus!O187</f>
        <v>0</v>
      </c>
      <c r="E220" s="240">
        <f>VResPlus!P187</f>
        <v>0</v>
      </c>
      <c r="F220" s="236">
        <f>VResPlus!Q187</f>
        <v>0</v>
      </c>
      <c r="G220" s="236">
        <f>VResPlus!S187</f>
        <v>0</v>
      </c>
      <c r="H220" s="236">
        <f>VResPlus!U187</f>
        <v>0</v>
      </c>
      <c r="I220" s="236">
        <f>VResPlus!V187</f>
        <v>0</v>
      </c>
      <c r="J220" s="241">
        <f>VResPlus!W187</f>
        <v>0</v>
      </c>
      <c r="K220" s="236">
        <f>VResPlus!X187</f>
        <v>0</v>
      </c>
      <c r="L220" s="237"/>
      <c r="M220" s="242">
        <v>0</v>
      </c>
      <c r="N220" s="238"/>
    </row>
    <row r="221" spans="3:14" x14ac:dyDescent="0.35">
      <c r="C221" s="252">
        <f t="shared" si="2"/>
        <v>183</v>
      </c>
      <c r="D221" s="243">
        <f>VResPlus!O188</f>
        <v>0</v>
      </c>
      <c r="E221" s="240">
        <f>VResPlus!P188</f>
        <v>0</v>
      </c>
      <c r="F221" s="236">
        <f>VResPlus!Q188</f>
        <v>0</v>
      </c>
      <c r="G221" s="236">
        <f>VResPlus!S188</f>
        <v>0</v>
      </c>
      <c r="H221" s="236">
        <f>VResPlus!U188</f>
        <v>0</v>
      </c>
      <c r="I221" s="236">
        <f>VResPlus!V188</f>
        <v>0</v>
      </c>
      <c r="J221" s="241">
        <f>VResPlus!W188</f>
        <v>0</v>
      </c>
      <c r="K221" s="236">
        <f>VResPlus!X188</f>
        <v>0</v>
      </c>
      <c r="L221" s="237"/>
      <c r="M221" s="242">
        <v>0</v>
      </c>
      <c r="N221" s="238"/>
    </row>
    <row r="222" spans="3:14" x14ac:dyDescent="0.35">
      <c r="C222" s="252">
        <f t="shared" si="2"/>
        <v>184</v>
      </c>
      <c r="D222" s="243">
        <f>VResPlus!O189</f>
        <v>0</v>
      </c>
      <c r="E222" s="240">
        <f>VResPlus!P189</f>
        <v>0</v>
      </c>
      <c r="F222" s="236">
        <f>VResPlus!Q189</f>
        <v>0</v>
      </c>
      <c r="G222" s="236">
        <f>VResPlus!S189</f>
        <v>0</v>
      </c>
      <c r="H222" s="236">
        <f>VResPlus!U189</f>
        <v>0</v>
      </c>
      <c r="I222" s="236">
        <f>VResPlus!V189</f>
        <v>0</v>
      </c>
      <c r="J222" s="241">
        <f>VResPlus!W189</f>
        <v>0</v>
      </c>
      <c r="K222" s="236">
        <f>VResPlus!X189</f>
        <v>0</v>
      </c>
      <c r="L222" s="237"/>
      <c r="M222" s="242">
        <v>0</v>
      </c>
      <c r="N222" s="238"/>
    </row>
    <row r="223" spans="3:14" x14ac:dyDescent="0.35">
      <c r="C223" s="252">
        <f t="shared" si="2"/>
        <v>185</v>
      </c>
      <c r="D223" s="243">
        <f>VResPlus!O190</f>
        <v>0</v>
      </c>
      <c r="E223" s="240">
        <f>VResPlus!P190</f>
        <v>0</v>
      </c>
      <c r="F223" s="236">
        <f>VResPlus!Q190</f>
        <v>0</v>
      </c>
      <c r="G223" s="236">
        <f>VResPlus!S190</f>
        <v>0</v>
      </c>
      <c r="H223" s="236">
        <f>VResPlus!U190</f>
        <v>0</v>
      </c>
      <c r="I223" s="236">
        <f>VResPlus!V190</f>
        <v>0</v>
      </c>
      <c r="J223" s="241">
        <f>VResPlus!W190</f>
        <v>0</v>
      </c>
      <c r="K223" s="236">
        <f>VResPlus!X190</f>
        <v>0</v>
      </c>
      <c r="L223" s="237"/>
      <c r="M223" s="242">
        <v>0</v>
      </c>
      <c r="N223" s="238"/>
    </row>
    <row r="224" spans="3:14" x14ac:dyDescent="0.35">
      <c r="C224" s="252">
        <f t="shared" si="2"/>
        <v>186</v>
      </c>
      <c r="D224" s="243">
        <f>VResPlus!O191</f>
        <v>0</v>
      </c>
      <c r="E224" s="240">
        <f>VResPlus!P191</f>
        <v>0</v>
      </c>
      <c r="F224" s="236">
        <f>VResPlus!Q191</f>
        <v>0</v>
      </c>
      <c r="G224" s="236">
        <f>VResPlus!S191</f>
        <v>0</v>
      </c>
      <c r="H224" s="236">
        <f>VResPlus!U191</f>
        <v>0</v>
      </c>
      <c r="I224" s="236">
        <f>VResPlus!V191</f>
        <v>0</v>
      </c>
      <c r="J224" s="241">
        <f>VResPlus!W191</f>
        <v>0</v>
      </c>
      <c r="K224" s="236">
        <f>VResPlus!X191</f>
        <v>0</v>
      </c>
      <c r="L224" s="237"/>
      <c r="M224" s="242">
        <v>0</v>
      </c>
      <c r="N224" s="238"/>
    </row>
    <row r="225" spans="3:14" x14ac:dyDescent="0.35">
      <c r="C225" s="252">
        <f t="shared" si="2"/>
        <v>187</v>
      </c>
      <c r="D225" s="243">
        <f>VResPlus!O192</f>
        <v>0</v>
      </c>
      <c r="E225" s="240">
        <f>VResPlus!P192</f>
        <v>0</v>
      </c>
      <c r="F225" s="236">
        <f>VResPlus!Q192</f>
        <v>0</v>
      </c>
      <c r="G225" s="236">
        <f>VResPlus!S192</f>
        <v>0</v>
      </c>
      <c r="H225" s="236">
        <f>VResPlus!U192</f>
        <v>0</v>
      </c>
      <c r="I225" s="236">
        <f>VResPlus!V192</f>
        <v>0</v>
      </c>
      <c r="J225" s="241">
        <f>VResPlus!W192</f>
        <v>0</v>
      </c>
      <c r="K225" s="236">
        <f>VResPlus!X192</f>
        <v>0</v>
      </c>
      <c r="L225" s="237"/>
      <c r="M225" s="242">
        <v>0</v>
      </c>
      <c r="N225" s="238"/>
    </row>
    <row r="226" spans="3:14" x14ac:dyDescent="0.35">
      <c r="C226" s="252">
        <f t="shared" si="2"/>
        <v>188</v>
      </c>
      <c r="D226" s="243">
        <f>VResPlus!O193</f>
        <v>0</v>
      </c>
      <c r="E226" s="240">
        <f>VResPlus!P193</f>
        <v>0</v>
      </c>
      <c r="F226" s="236">
        <f>VResPlus!Q193</f>
        <v>0</v>
      </c>
      <c r="G226" s="236">
        <f>VResPlus!S193</f>
        <v>0</v>
      </c>
      <c r="H226" s="236">
        <f>VResPlus!U193</f>
        <v>0</v>
      </c>
      <c r="I226" s="236">
        <f>VResPlus!V193</f>
        <v>0</v>
      </c>
      <c r="J226" s="241">
        <f>VResPlus!W193</f>
        <v>0</v>
      </c>
      <c r="K226" s="236">
        <f>VResPlus!X193</f>
        <v>0</v>
      </c>
      <c r="L226" s="237"/>
      <c r="M226" s="242">
        <v>0</v>
      </c>
      <c r="N226" s="238"/>
    </row>
    <row r="227" spans="3:14" x14ac:dyDescent="0.35">
      <c r="C227" s="252">
        <f t="shared" si="2"/>
        <v>189</v>
      </c>
      <c r="D227" s="243">
        <f>VResPlus!O194</f>
        <v>0</v>
      </c>
      <c r="E227" s="240">
        <f>VResPlus!P194</f>
        <v>0</v>
      </c>
      <c r="F227" s="236">
        <f>VResPlus!Q194</f>
        <v>0</v>
      </c>
      <c r="G227" s="236">
        <f>VResPlus!S194</f>
        <v>0</v>
      </c>
      <c r="H227" s="236">
        <f>VResPlus!U194</f>
        <v>0</v>
      </c>
      <c r="I227" s="236">
        <f>VResPlus!V194</f>
        <v>0</v>
      </c>
      <c r="J227" s="241">
        <f>VResPlus!W194</f>
        <v>0</v>
      </c>
      <c r="K227" s="236">
        <f>VResPlus!X194</f>
        <v>0</v>
      </c>
      <c r="L227" s="237"/>
      <c r="M227" s="242">
        <v>0</v>
      </c>
      <c r="N227" s="238"/>
    </row>
    <row r="228" spans="3:14" x14ac:dyDescent="0.35">
      <c r="C228" s="252">
        <f t="shared" si="2"/>
        <v>190</v>
      </c>
      <c r="D228" s="243">
        <f>VResPlus!O195</f>
        <v>0</v>
      </c>
      <c r="E228" s="240">
        <f>VResPlus!P195</f>
        <v>0</v>
      </c>
      <c r="F228" s="236">
        <f>VResPlus!Q195</f>
        <v>0</v>
      </c>
      <c r="G228" s="236">
        <f>VResPlus!S195</f>
        <v>0</v>
      </c>
      <c r="H228" s="236">
        <f>VResPlus!U195</f>
        <v>0</v>
      </c>
      <c r="I228" s="236">
        <f>VResPlus!V195</f>
        <v>0</v>
      </c>
      <c r="J228" s="241">
        <f>VResPlus!W195</f>
        <v>0</v>
      </c>
      <c r="K228" s="236">
        <f>VResPlus!X195</f>
        <v>0</v>
      </c>
      <c r="L228" s="237"/>
      <c r="M228" s="242">
        <v>0</v>
      </c>
      <c r="N228" s="238"/>
    </row>
    <row r="229" spans="3:14" x14ac:dyDescent="0.35">
      <c r="C229" s="252">
        <f t="shared" si="2"/>
        <v>191</v>
      </c>
      <c r="D229" s="243">
        <f>VResPlus!O196</f>
        <v>0</v>
      </c>
      <c r="E229" s="240">
        <f>VResPlus!P196</f>
        <v>0</v>
      </c>
      <c r="F229" s="236">
        <f>VResPlus!Q196</f>
        <v>0</v>
      </c>
      <c r="G229" s="236">
        <f>VResPlus!S196</f>
        <v>0</v>
      </c>
      <c r="H229" s="236">
        <f>VResPlus!U196</f>
        <v>0</v>
      </c>
      <c r="I229" s="236">
        <f>VResPlus!V196</f>
        <v>0</v>
      </c>
      <c r="J229" s="241">
        <f>VResPlus!W196</f>
        <v>0</v>
      </c>
      <c r="K229" s="236">
        <f>VResPlus!X196</f>
        <v>0</v>
      </c>
      <c r="L229" s="237"/>
      <c r="M229" s="242">
        <v>0</v>
      </c>
      <c r="N229" s="238"/>
    </row>
    <row r="230" spans="3:14" x14ac:dyDescent="0.35">
      <c r="C230" s="381">
        <f t="shared" si="2"/>
        <v>192</v>
      </c>
      <c r="D230" s="382">
        <f>VResPlus!O197</f>
        <v>0</v>
      </c>
      <c r="E230" s="383">
        <f>VResPlus!P197</f>
        <v>0</v>
      </c>
      <c r="F230" s="384">
        <f>VResPlus!Q197</f>
        <v>0</v>
      </c>
      <c r="G230" s="384">
        <f>VResPlus!S197</f>
        <v>0</v>
      </c>
      <c r="H230" s="384">
        <f>VResPlus!U197</f>
        <v>0</v>
      </c>
      <c r="I230" s="384">
        <f>VResPlus!V197</f>
        <v>0</v>
      </c>
      <c r="J230" s="385">
        <f>VResPlus!W197</f>
        <v>0</v>
      </c>
      <c r="K230" s="384">
        <f>VResPlus!X197</f>
        <v>0</v>
      </c>
      <c r="L230" s="237"/>
      <c r="M230" s="386">
        <v>0</v>
      </c>
      <c r="N230" s="238"/>
    </row>
    <row r="231" spans="3:14" x14ac:dyDescent="0.35">
      <c r="C231" s="252">
        <f t="shared" si="2"/>
        <v>193</v>
      </c>
      <c r="D231" s="243">
        <f>VResPlus!O198</f>
        <v>0</v>
      </c>
      <c r="E231" s="240">
        <f>VResPlus!P198</f>
        <v>0</v>
      </c>
      <c r="F231" s="236">
        <f>VResPlus!Q198</f>
        <v>0</v>
      </c>
      <c r="G231" s="236">
        <f>VResPlus!S198</f>
        <v>0</v>
      </c>
      <c r="H231" s="236">
        <f>VResPlus!U198</f>
        <v>0</v>
      </c>
      <c r="I231" s="236">
        <f>VResPlus!V198</f>
        <v>0</v>
      </c>
      <c r="J231" s="241">
        <f>VResPlus!W198</f>
        <v>0</v>
      </c>
      <c r="K231" s="236">
        <f>VResPlus!X198</f>
        <v>0</v>
      </c>
      <c r="L231" s="237"/>
      <c r="M231" s="242">
        <v>0</v>
      </c>
      <c r="N231" s="238"/>
    </row>
    <row r="232" spans="3:14" x14ac:dyDescent="0.35">
      <c r="C232" s="252">
        <f t="shared" si="2"/>
        <v>194</v>
      </c>
      <c r="D232" s="243">
        <f>VResPlus!O199</f>
        <v>0</v>
      </c>
      <c r="E232" s="240">
        <f>VResPlus!P199</f>
        <v>0</v>
      </c>
      <c r="F232" s="236">
        <f>VResPlus!Q199</f>
        <v>0</v>
      </c>
      <c r="G232" s="236">
        <f>VResPlus!S199</f>
        <v>0</v>
      </c>
      <c r="H232" s="236">
        <f>VResPlus!U199</f>
        <v>0</v>
      </c>
      <c r="I232" s="236">
        <f>VResPlus!V199</f>
        <v>0</v>
      </c>
      <c r="J232" s="241">
        <f>VResPlus!W199</f>
        <v>0</v>
      </c>
      <c r="K232" s="236">
        <f>VResPlus!X199</f>
        <v>0</v>
      </c>
      <c r="L232" s="237"/>
      <c r="M232" s="242">
        <v>0</v>
      </c>
      <c r="N232" s="238"/>
    </row>
    <row r="233" spans="3:14" x14ac:dyDescent="0.35">
      <c r="C233" s="252">
        <f t="shared" ref="C233:C278" si="3">C232+1</f>
        <v>195</v>
      </c>
      <c r="D233" s="243">
        <f>VResPlus!O200</f>
        <v>0</v>
      </c>
      <c r="E233" s="240">
        <f>VResPlus!P200</f>
        <v>0</v>
      </c>
      <c r="F233" s="236">
        <f>VResPlus!Q200</f>
        <v>0</v>
      </c>
      <c r="G233" s="236">
        <f>VResPlus!S200</f>
        <v>0</v>
      </c>
      <c r="H233" s="236">
        <f>VResPlus!U200</f>
        <v>0</v>
      </c>
      <c r="I233" s="236">
        <f>VResPlus!V200</f>
        <v>0</v>
      </c>
      <c r="J233" s="241">
        <f>VResPlus!W200</f>
        <v>0</v>
      </c>
      <c r="K233" s="236">
        <f>VResPlus!X200</f>
        <v>0</v>
      </c>
      <c r="L233" s="237"/>
      <c r="M233" s="242">
        <v>0</v>
      </c>
      <c r="N233" s="238"/>
    </row>
    <row r="234" spans="3:14" x14ac:dyDescent="0.35">
      <c r="C234" s="252">
        <f t="shared" si="3"/>
        <v>196</v>
      </c>
      <c r="D234" s="243">
        <f>VResPlus!O201</f>
        <v>0</v>
      </c>
      <c r="E234" s="240">
        <f>VResPlus!P201</f>
        <v>0</v>
      </c>
      <c r="F234" s="236">
        <f>VResPlus!Q201</f>
        <v>0</v>
      </c>
      <c r="G234" s="236">
        <f>VResPlus!S201</f>
        <v>0</v>
      </c>
      <c r="H234" s="236">
        <f>VResPlus!U201</f>
        <v>0</v>
      </c>
      <c r="I234" s="236">
        <f>VResPlus!V201</f>
        <v>0</v>
      </c>
      <c r="J234" s="241">
        <f>VResPlus!W201</f>
        <v>0</v>
      </c>
      <c r="K234" s="236">
        <f>VResPlus!X201</f>
        <v>0</v>
      </c>
      <c r="L234" s="237"/>
      <c r="M234" s="242">
        <v>0</v>
      </c>
      <c r="N234" s="238"/>
    </row>
    <row r="235" spans="3:14" x14ac:dyDescent="0.35">
      <c r="C235" s="252">
        <f t="shared" si="3"/>
        <v>197</v>
      </c>
      <c r="D235" s="243">
        <f>VResPlus!O202</f>
        <v>0</v>
      </c>
      <c r="E235" s="240">
        <f>VResPlus!P202</f>
        <v>0</v>
      </c>
      <c r="F235" s="236">
        <f>VResPlus!Q202</f>
        <v>0</v>
      </c>
      <c r="G235" s="236">
        <f>VResPlus!S202</f>
        <v>0</v>
      </c>
      <c r="H235" s="236">
        <f>VResPlus!U202</f>
        <v>0</v>
      </c>
      <c r="I235" s="236">
        <f>VResPlus!V202</f>
        <v>0</v>
      </c>
      <c r="J235" s="241">
        <f>VResPlus!W202</f>
        <v>0</v>
      </c>
      <c r="K235" s="236">
        <f>VResPlus!X202</f>
        <v>0</v>
      </c>
      <c r="L235" s="237"/>
      <c r="M235" s="242">
        <v>0</v>
      </c>
      <c r="N235" s="238"/>
    </row>
    <row r="236" spans="3:14" x14ac:dyDescent="0.35">
      <c r="C236" s="252">
        <f t="shared" si="3"/>
        <v>198</v>
      </c>
      <c r="D236" s="243">
        <f>VResPlus!O203</f>
        <v>0</v>
      </c>
      <c r="E236" s="240">
        <f>VResPlus!P203</f>
        <v>0</v>
      </c>
      <c r="F236" s="236">
        <f>VResPlus!Q203</f>
        <v>0</v>
      </c>
      <c r="G236" s="236">
        <f>VResPlus!S203</f>
        <v>0</v>
      </c>
      <c r="H236" s="236">
        <f>VResPlus!U203</f>
        <v>0</v>
      </c>
      <c r="I236" s="236">
        <f>VResPlus!V203</f>
        <v>0</v>
      </c>
      <c r="J236" s="241">
        <f>VResPlus!W203</f>
        <v>0</v>
      </c>
      <c r="K236" s="236">
        <f>VResPlus!X203</f>
        <v>0</v>
      </c>
      <c r="L236" s="237"/>
      <c r="M236" s="242">
        <v>0</v>
      </c>
      <c r="N236" s="238"/>
    </row>
    <row r="237" spans="3:14" x14ac:dyDescent="0.35">
      <c r="C237" s="252">
        <f t="shared" si="3"/>
        <v>199</v>
      </c>
      <c r="D237" s="243">
        <f>VResPlus!O204</f>
        <v>0</v>
      </c>
      <c r="E237" s="240">
        <f>VResPlus!P204</f>
        <v>0</v>
      </c>
      <c r="F237" s="236">
        <f>VResPlus!Q204</f>
        <v>0</v>
      </c>
      <c r="G237" s="236">
        <f>VResPlus!S204</f>
        <v>0</v>
      </c>
      <c r="H237" s="236">
        <f>VResPlus!U204</f>
        <v>0</v>
      </c>
      <c r="I237" s="236">
        <f>VResPlus!V204</f>
        <v>0</v>
      </c>
      <c r="J237" s="241">
        <f>VResPlus!W204</f>
        <v>0</v>
      </c>
      <c r="K237" s="236">
        <f>VResPlus!X204</f>
        <v>0</v>
      </c>
      <c r="L237" s="237"/>
      <c r="M237" s="242">
        <v>0</v>
      </c>
      <c r="N237" s="238"/>
    </row>
    <row r="238" spans="3:14" x14ac:dyDescent="0.35">
      <c r="C238" s="252">
        <f t="shared" si="3"/>
        <v>200</v>
      </c>
      <c r="D238" s="243">
        <f>VResPlus!O205</f>
        <v>0</v>
      </c>
      <c r="E238" s="240">
        <f>VResPlus!P205</f>
        <v>0</v>
      </c>
      <c r="F238" s="236">
        <f>VResPlus!Q205</f>
        <v>0</v>
      </c>
      <c r="G238" s="236">
        <f>VResPlus!S205</f>
        <v>0</v>
      </c>
      <c r="H238" s="236">
        <f>VResPlus!U205</f>
        <v>0</v>
      </c>
      <c r="I238" s="236">
        <f>VResPlus!V205</f>
        <v>0</v>
      </c>
      <c r="J238" s="241">
        <f>VResPlus!W205</f>
        <v>0</v>
      </c>
      <c r="K238" s="236">
        <f>VResPlus!X205</f>
        <v>0</v>
      </c>
      <c r="L238" s="237"/>
      <c r="M238" s="242">
        <v>0</v>
      </c>
      <c r="N238" s="238"/>
    </row>
    <row r="239" spans="3:14" x14ac:dyDescent="0.35">
      <c r="C239" s="252">
        <f t="shared" si="3"/>
        <v>201</v>
      </c>
      <c r="D239" s="243">
        <f>VResPlus!O206</f>
        <v>0</v>
      </c>
      <c r="E239" s="240">
        <f>VResPlus!P206</f>
        <v>0</v>
      </c>
      <c r="F239" s="236">
        <f>VResPlus!Q206</f>
        <v>0</v>
      </c>
      <c r="G239" s="236">
        <f>VResPlus!S206</f>
        <v>0</v>
      </c>
      <c r="H239" s="236">
        <f>VResPlus!U206</f>
        <v>0</v>
      </c>
      <c r="I239" s="236">
        <f>VResPlus!V206</f>
        <v>0</v>
      </c>
      <c r="J239" s="241">
        <f>VResPlus!W206</f>
        <v>0</v>
      </c>
      <c r="K239" s="236">
        <f>VResPlus!X206</f>
        <v>0</v>
      </c>
      <c r="L239" s="237"/>
      <c r="M239" s="242">
        <v>0</v>
      </c>
      <c r="N239" s="238"/>
    </row>
    <row r="240" spans="3:14" x14ac:dyDescent="0.35">
      <c r="C240" s="252">
        <f t="shared" si="3"/>
        <v>202</v>
      </c>
      <c r="D240" s="243">
        <f>VResPlus!O207</f>
        <v>0</v>
      </c>
      <c r="E240" s="240">
        <f>VResPlus!P207</f>
        <v>0</v>
      </c>
      <c r="F240" s="236">
        <f>VResPlus!Q207</f>
        <v>0</v>
      </c>
      <c r="G240" s="236">
        <f>VResPlus!S207</f>
        <v>0</v>
      </c>
      <c r="H240" s="236">
        <f>VResPlus!U207</f>
        <v>0</v>
      </c>
      <c r="I240" s="236">
        <f>VResPlus!V207</f>
        <v>0</v>
      </c>
      <c r="J240" s="241">
        <f>VResPlus!W207</f>
        <v>0</v>
      </c>
      <c r="K240" s="236">
        <f>VResPlus!X207</f>
        <v>0</v>
      </c>
      <c r="L240" s="237"/>
      <c r="M240" s="242">
        <v>0</v>
      </c>
      <c r="N240" s="238"/>
    </row>
    <row r="241" spans="3:14" x14ac:dyDescent="0.35">
      <c r="C241" s="252">
        <f t="shared" si="3"/>
        <v>203</v>
      </c>
      <c r="D241" s="243">
        <f>VResPlus!O208</f>
        <v>0</v>
      </c>
      <c r="E241" s="240">
        <f>VResPlus!P208</f>
        <v>0</v>
      </c>
      <c r="F241" s="236">
        <f>VResPlus!Q208</f>
        <v>0</v>
      </c>
      <c r="G241" s="236">
        <f>VResPlus!S208</f>
        <v>0</v>
      </c>
      <c r="H241" s="236">
        <f>VResPlus!U208</f>
        <v>0</v>
      </c>
      <c r="I241" s="236">
        <f>VResPlus!V208</f>
        <v>0</v>
      </c>
      <c r="J241" s="241">
        <f>VResPlus!W208</f>
        <v>0</v>
      </c>
      <c r="K241" s="236">
        <f>VResPlus!X208</f>
        <v>0</v>
      </c>
      <c r="L241" s="237"/>
      <c r="M241" s="242">
        <v>0</v>
      </c>
      <c r="N241" s="238"/>
    </row>
    <row r="242" spans="3:14" x14ac:dyDescent="0.35">
      <c r="C242" s="381">
        <f t="shared" si="3"/>
        <v>204</v>
      </c>
      <c r="D242" s="382">
        <f>VResPlus!O209</f>
        <v>0</v>
      </c>
      <c r="E242" s="383">
        <f>VResPlus!P209</f>
        <v>0</v>
      </c>
      <c r="F242" s="384">
        <f>VResPlus!Q209</f>
        <v>0</v>
      </c>
      <c r="G242" s="384">
        <f>VResPlus!S209</f>
        <v>0</v>
      </c>
      <c r="H242" s="384">
        <f>VResPlus!U209</f>
        <v>0</v>
      </c>
      <c r="I242" s="384">
        <f>VResPlus!V209</f>
        <v>0</v>
      </c>
      <c r="J242" s="385">
        <f>VResPlus!W209</f>
        <v>0</v>
      </c>
      <c r="K242" s="384">
        <f>VResPlus!X209</f>
        <v>0</v>
      </c>
      <c r="L242" s="237"/>
      <c r="M242" s="386">
        <v>0</v>
      </c>
      <c r="N242" s="238"/>
    </row>
    <row r="243" spans="3:14" x14ac:dyDescent="0.35">
      <c r="C243" s="252">
        <f t="shared" si="3"/>
        <v>205</v>
      </c>
      <c r="D243" s="243">
        <f>VResPlus!O210</f>
        <v>0</v>
      </c>
      <c r="E243" s="240">
        <f>VResPlus!P210</f>
        <v>0</v>
      </c>
      <c r="F243" s="236">
        <f>VResPlus!Q210</f>
        <v>0</v>
      </c>
      <c r="G243" s="236">
        <f>VResPlus!S210</f>
        <v>0</v>
      </c>
      <c r="H243" s="236">
        <f>VResPlus!U210</f>
        <v>0</v>
      </c>
      <c r="I243" s="236">
        <f>VResPlus!V210</f>
        <v>0</v>
      </c>
      <c r="J243" s="241">
        <f>VResPlus!W210</f>
        <v>0</v>
      </c>
      <c r="K243" s="236">
        <f>VResPlus!X210</f>
        <v>0</v>
      </c>
      <c r="L243" s="237"/>
      <c r="M243" s="242">
        <v>0</v>
      </c>
      <c r="N243" s="238"/>
    </row>
    <row r="244" spans="3:14" x14ac:dyDescent="0.35">
      <c r="C244" s="252">
        <f t="shared" si="3"/>
        <v>206</v>
      </c>
      <c r="D244" s="243">
        <f>VResPlus!O211</f>
        <v>0</v>
      </c>
      <c r="E244" s="240">
        <f>VResPlus!P211</f>
        <v>0</v>
      </c>
      <c r="F244" s="236">
        <f>VResPlus!Q211</f>
        <v>0</v>
      </c>
      <c r="G244" s="236">
        <f>VResPlus!S211</f>
        <v>0</v>
      </c>
      <c r="H244" s="236">
        <f>VResPlus!U211</f>
        <v>0</v>
      </c>
      <c r="I244" s="236">
        <f>VResPlus!V211</f>
        <v>0</v>
      </c>
      <c r="J244" s="241">
        <f>VResPlus!W211</f>
        <v>0</v>
      </c>
      <c r="K244" s="236">
        <f>VResPlus!X211</f>
        <v>0</v>
      </c>
      <c r="L244" s="237"/>
      <c r="M244" s="242">
        <v>0</v>
      </c>
      <c r="N244" s="238"/>
    </row>
    <row r="245" spans="3:14" x14ac:dyDescent="0.35">
      <c r="C245" s="252">
        <f t="shared" si="3"/>
        <v>207</v>
      </c>
      <c r="D245" s="243">
        <f>VResPlus!O212</f>
        <v>0</v>
      </c>
      <c r="E245" s="240">
        <f>VResPlus!P212</f>
        <v>0</v>
      </c>
      <c r="F245" s="236">
        <f>VResPlus!Q212</f>
        <v>0</v>
      </c>
      <c r="G245" s="236">
        <f>VResPlus!S212</f>
        <v>0</v>
      </c>
      <c r="H245" s="236">
        <f>VResPlus!U212</f>
        <v>0</v>
      </c>
      <c r="I245" s="236">
        <f>VResPlus!V212</f>
        <v>0</v>
      </c>
      <c r="J245" s="241">
        <f>VResPlus!W212</f>
        <v>0</v>
      </c>
      <c r="K245" s="236">
        <f>VResPlus!X212</f>
        <v>0</v>
      </c>
      <c r="L245" s="237"/>
      <c r="M245" s="242">
        <v>0</v>
      </c>
      <c r="N245" s="238"/>
    </row>
    <row r="246" spans="3:14" x14ac:dyDescent="0.35">
      <c r="C246" s="252">
        <f t="shared" si="3"/>
        <v>208</v>
      </c>
      <c r="D246" s="243">
        <f>VResPlus!O213</f>
        <v>0</v>
      </c>
      <c r="E246" s="240">
        <f>VResPlus!P213</f>
        <v>0</v>
      </c>
      <c r="F246" s="236">
        <f>VResPlus!Q213</f>
        <v>0</v>
      </c>
      <c r="G246" s="236">
        <f>VResPlus!S213</f>
        <v>0</v>
      </c>
      <c r="H246" s="236">
        <f>VResPlus!U213</f>
        <v>0</v>
      </c>
      <c r="I246" s="236">
        <f>VResPlus!V213</f>
        <v>0</v>
      </c>
      <c r="J246" s="241">
        <f>VResPlus!W213</f>
        <v>0</v>
      </c>
      <c r="K246" s="236">
        <f>VResPlus!X213</f>
        <v>0</v>
      </c>
      <c r="L246" s="237"/>
      <c r="M246" s="242">
        <v>0</v>
      </c>
      <c r="N246" s="238"/>
    </row>
    <row r="247" spans="3:14" x14ac:dyDescent="0.35">
      <c r="C247" s="252">
        <f t="shared" si="3"/>
        <v>209</v>
      </c>
      <c r="D247" s="243">
        <f>VResPlus!O214</f>
        <v>0</v>
      </c>
      <c r="E247" s="240">
        <f>VResPlus!P214</f>
        <v>0</v>
      </c>
      <c r="F247" s="236">
        <f>VResPlus!Q214</f>
        <v>0</v>
      </c>
      <c r="G247" s="236">
        <f>VResPlus!S214</f>
        <v>0</v>
      </c>
      <c r="H247" s="236">
        <f>VResPlus!U214</f>
        <v>0</v>
      </c>
      <c r="I247" s="236">
        <f>VResPlus!V214</f>
        <v>0</v>
      </c>
      <c r="J247" s="241">
        <f>VResPlus!W214</f>
        <v>0</v>
      </c>
      <c r="K247" s="236">
        <f>VResPlus!X214</f>
        <v>0</v>
      </c>
      <c r="L247" s="237"/>
      <c r="M247" s="242">
        <v>0</v>
      </c>
      <c r="N247" s="238"/>
    </row>
    <row r="248" spans="3:14" x14ac:dyDescent="0.35">
      <c r="C248" s="252">
        <f t="shared" si="3"/>
        <v>210</v>
      </c>
      <c r="D248" s="243">
        <f>VResPlus!O215</f>
        <v>0</v>
      </c>
      <c r="E248" s="240">
        <f>VResPlus!P215</f>
        <v>0</v>
      </c>
      <c r="F248" s="236">
        <f>VResPlus!Q215</f>
        <v>0</v>
      </c>
      <c r="G248" s="236">
        <f>VResPlus!S215</f>
        <v>0</v>
      </c>
      <c r="H248" s="236">
        <f>VResPlus!U215</f>
        <v>0</v>
      </c>
      <c r="I248" s="236">
        <f>VResPlus!V215</f>
        <v>0</v>
      </c>
      <c r="J248" s="241">
        <f>VResPlus!W215</f>
        <v>0</v>
      </c>
      <c r="K248" s="236">
        <f>VResPlus!X215</f>
        <v>0</v>
      </c>
      <c r="L248" s="237"/>
      <c r="M248" s="242">
        <v>0</v>
      </c>
      <c r="N248" s="238"/>
    </row>
    <row r="249" spans="3:14" x14ac:dyDescent="0.35">
      <c r="C249" s="252">
        <f t="shared" si="3"/>
        <v>211</v>
      </c>
      <c r="D249" s="243">
        <f>VResPlus!O216</f>
        <v>0</v>
      </c>
      <c r="E249" s="240">
        <f>VResPlus!P216</f>
        <v>0</v>
      </c>
      <c r="F249" s="236">
        <f>VResPlus!Q216</f>
        <v>0</v>
      </c>
      <c r="G249" s="236">
        <f>VResPlus!S216</f>
        <v>0</v>
      </c>
      <c r="H249" s="236">
        <f>VResPlus!U216</f>
        <v>0</v>
      </c>
      <c r="I249" s="236">
        <f>VResPlus!V216</f>
        <v>0</v>
      </c>
      <c r="J249" s="241">
        <f>VResPlus!W216</f>
        <v>0</v>
      </c>
      <c r="K249" s="236">
        <f>VResPlus!X216</f>
        <v>0</v>
      </c>
      <c r="L249" s="237"/>
      <c r="M249" s="242">
        <v>0</v>
      </c>
      <c r="N249" s="238"/>
    </row>
    <row r="250" spans="3:14" x14ac:dyDescent="0.35">
      <c r="C250" s="252">
        <f t="shared" si="3"/>
        <v>212</v>
      </c>
      <c r="D250" s="243">
        <f>VResPlus!O217</f>
        <v>0</v>
      </c>
      <c r="E250" s="240">
        <f>VResPlus!P217</f>
        <v>0</v>
      </c>
      <c r="F250" s="236">
        <f>VResPlus!Q217</f>
        <v>0</v>
      </c>
      <c r="G250" s="236">
        <f>VResPlus!S217</f>
        <v>0</v>
      </c>
      <c r="H250" s="236">
        <f>VResPlus!U217</f>
        <v>0</v>
      </c>
      <c r="I250" s="236">
        <f>VResPlus!V217</f>
        <v>0</v>
      </c>
      <c r="J250" s="241">
        <f>VResPlus!W217</f>
        <v>0</v>
      </c>
      <c r="K250" s="236">
        <f>VResPlus!X217</f>
        <v>0</v>
      </c>
      <c r="L250" s="237"/>
      <c r="M250" s="242">
        <v>0</v>
      </c>
      <c r="N250" s="238"/>
    </row>
    <row r="251" spans="3:14" x14ac:dyDescent="0.35">
      <c r="C251" s="252">
        <f t="shared" si="3"/>
        <v>213</v>
      </c>
      <c r="D251" s="243">
        <f>VResPlus!O218</f>
        <v>0</v>
      </c>
      <c r="E251" s="240">
        <f>VResPlus!P218</f>
        <v>0</v>
      </c>
      <c r="F251" s="236">
        <f>VResPlus!Q218</f>
        <v>0</v>
      </c>
      <c r="G251" s="236">
        <f>VResPlus!S218</f>
        <v>0</v>
      </c>
      <c r="H251" s="236">
        <f>VResPlus!U218</f>
        <v>0</v>
      </c>
      <c r="I251" s="236">
        <f>VResPlus!V218</f>
        <v>0</v>
      </c>
      <c r="J251" s="241">
        <f>VResPlus!W218</f>
        <v>0</v>
      </c>
      <c r="K251" s="236">
        <f>VResPlus!X218</f>
        <v>0</v>
      </c>
      <c r="L251" s="237"/>
      <c r="M251" s="242">
        <v>0</v>
      </c>
      <c r="N251" s="238"/>
    </row>
    <row r="252" spans="3:14" x14ac:dyDescent="0.35">
      <c r="C252" s="252">
        <f t="shared" si="3"/>
        <v>214</v>
      </c>
      <c r="D252" s="243">
        <f>VResPlus!O219</f>
        <v>0</v>
      </c>
      <c r="E252" s="240">
        <f>VResPlus!P219</f>
        <v>0</v>
      </c>
      <c r="F252" s="236">
        <f>VResPlus!Q219</f>
        <v>0</v>
      </c>
      <c r="G252" s="236">
        <f>VResPlus!S219</f>
        <v>0</v>
      </c>
      <c r="H252" s="236">
        <f>VResPlus!U219</f>
        <v>0</v>
      </c>
      <c r="I252" s="236">
        <f>VResPlus!V219</f>
        <v>0</v>
      </c>
      <c r="J252" s="241">
        <f>VResPlus!W219</f>
        <v>0</v>
      </c>
      <c r="K252" s="236">
        <f>VResPlus!X219</f>
        <v>0</v>
      </c>
      <c r="L252" s="237"/>
      <c r="M252" s="242">
        <v>0</v>
      </c>
      <c r="N252" s="238"/>
    </row>
    <row r="253" spans="3:14" x14ac:dyDescent="0.35">
      <c r="C253" s="252">
        <f t="shared" si="3"/>
        <v>215</v>
      </c>
      <c r="D253" s="243">
        <f>VResPlus!O220</f>
        <v>0</v>
      </c>
      <c r="E253" s="240">
        <f>VResPlus!P220</f>
        <v>0</v>
      </c>
      <c r="F253" s="236">
        <f>VResPlus!Q220</f>
        <v>0</v>
      </c>
      <c r="G253" s="236">
        <f>VResPlus!S220</f>
        <v>0</v>
      </c>
      <c r="H253" s="236">
        <f>VResPlus!U220</f>
        <v>0</v>
      </c>
      <c r="I253" s="236">
        <f>VResPlus!V220</f>
        <v>0</v>
      </c>
      <c r="J253" s="241">
        <f>VResPlus!W220</f>
        <v>0</v>
      </c>
      <c r="K253" s="236">
        <f>VResPlus!X220</f>
        <v>0</v>
      </c>
      <c r="L253" s="237"/>
      <c r="M253" s="242">
        <v>0</v>
      </c>
      <c r="N253" s="238"/>
    </row>
    <row r="254" spans="3:14" x14ac:dyDescent="0.35">
      <c r="C254" s="381">
        <f t="shared" si="3"/>
        <v>216</v>
      </c>
      <c r="D254" s="382">
        <f>VResPlus!O221</f>
        <v>0</v>
      </c>
      <c r="E254" s="383">
        <f>VResPlus!P221</f>
        <v>0</v>
      </c>
      <c r="F254" s="384">
        <f>VResPlus!Q221</f>
        <v>0</v>
      </c>
      <c r="G254" s="384">
        <f>VResPlus!S221</f>
        <v>0</v>
      </c>
      <c r="H254" s="384">
        <f>VResPlus!U221</f>
        <v>0</v>
      </c>
      <c r="I254" s="384">
        <f>VResPlus!V221</f>
        <v>0</v>
      </c>
      <c r="J254" s="385">
        <f>VResPlus!W221</f>
        <v>0</v>
      </c>
      <c r="K254" s="384">
        <f>VResPlus!X221</f>
        <v>0</v>
      </c>
      <c r="L254" s="237"/>
      <c r="M254" s="386">
        <v>0</v>
      </c>
      <c r="N254" s="238"/>
    </row>
    <row r="255" spans="3:14" x14ac:dyDescent="0.35">
      <c r="C255" s="252">
        <f t="shared" si="3"/>
        <v>217</v>
      </c>
      <c r="D255" s="243">
        <f>VResPlus!O222</f>
        <v>0</v>
      </c>
      <c r="E255" s="240">
        <f>VResPlus!P222</f>
        <v>0</v>
      </c>
      <c r="F255" s="236">
        <f>VResPlus!Q222</f>
        <v>0</v>
      </c>
      <c r="G255" s="236">
        <f>VResPlus!S222</f>
        <v>0</v>
      </c>
      <c r="H255" s="236">
        <f>VResPlus!U222</f>
        <v>0</v>
      </c>
      <c r="I255" s="236">
        <f>VResPlus!V222</f>
        <v>0</v>
      </c>
      <c r="J255" s="241">
        <f>VResPlus!W222</f>
        <v>0</v>
      </c>
      <c r="K255" s="236">
        <f>VResPlus!X222</f>
        <v>0</v>
      </c>
      <c r="L255" s="237"/>
      <c r="M255" s="242">
        <v>0</v>
      </c>
      <c r="N255" s="238"/>
    </row>
    <row r="256" spans="3:14" x14ac:dyDescent="0.35">
      <c r="C256" s="252">
        <f t="shared" si="3"/>
        <v>218</v>
      </c>
      <c r="D256" s="243">
        <f>VResPlus!O223</f>
        <v>0</v>
      </c>
      <c r="E256" s="240">
        <f>VResPlus!P223</f>
        <v>0</v>
      </c>
      <c r="F256" s="236">
        <f>VResPlus!Q223</f>
        <v>0</v>
      </c>
      <c r="G256" s="236">
        <f>VResPlus!S223</f>
        <v>0</v>
      </c>
      <c r="H256" s="236">
        <f>VResPlus!U223</f>
        <v>0</v>
      </c>
      <c r="I256" s="236">
        <f>VResPlus!V223</f>
        <v>0</v>
      </c>
      <c r="J256" s="241">
        <f>VResPlus!W223</f>
        <v>0</v>
      </c>
      <c r="K256" s="236">
        <f>VResPlus!X223</f>
        <v>0</v>
      </c>
      <c r="L256" s="237"/>
      <c r="M256" s="242">
        <v>0</v>
      </c>
      <c r="N256" s="238"/>
    </row>
    <row r="257" spans="3:14" x14ac:dyDescent="0.35">
      <c r="C257" s="252">
        <f t="shared" si="3"/>
        <v>219</v>
      </c>
      <c r="D257" s="243">
        <f>VResPlus!O224</f>
        <v>0</v>
      </c>
      <c r="E257" s="240">
        <f>VResPlus!P224</f>
        <v>0</v>
      </c>
      <c r="F257" s="236">
        <f>VResPlus!Q224</f>
        <v>0</v>
      </c>
      <c r="G257" s="236">
        <f>VResPlus!S224</f>
        <v>0</v>
      </c>
      <c r="H257" s="236">
        <f>VResPlus!U224</f>
        <v>0</v>
      </c>
      <c r="I257" s="236">
        <f>VResPlus!V224</f>
        <v>0</v>
      </c>
      <c r="J257" s="241">
        <f>VResPlus!W224</f>
        <v>0</v>
      </c>
      <c r="K257" s="236">
        <f>VResPlus!X224</f>
        <v>0</v>
      </c>
      <c r="L257" s="237"/>
      <c r="M257" s="242">
        <v>0</v>
      </c>
      <c r="N257" s="238"/>
    </row>
    <row r="258" spans="3:14" x14ac:dyDescent="0.35">
      <c r="C258" s="252">
        <f t="shared" si="3"/>
        <v>220</v>
      </c>
      <c r="D258" s="243">
        <f>VResPlus!O225</f>
        <v>0</v>
      </c>
      <c r="E258" s="240">
        <f>VResPlus!P225</f>
        <v>0</v>
      </c>
      <c r="F258" s="236">
        <f>VResPlus!Q225</f>
        <v>0</v>
      </c>
      <c r="G258" s="236">
        <f>VResPlus!S225</f>
        <v>0</v>
      </c>
      <c r="H258" s="236">
        <f>VResPlus!U225</f>
        <v>0</v>
      </c>
      <c r="I258" s="236">
        <f>VResPlus!V225</f>
        <v>0</v>
      </c>
      <c r="J258" s="241">
        <f>VResPlus!W225</f>
        <v>0</v>
      </c>
      <c r="K258" s="236">
        <f>VResPlus!X225</f>
        <v>0</v>
      </c>
      <c r="L258" s="237"/>
      <c r="M258" s="242">
        <v>0</v>
      </c>
      <c r="N258" s="238"/>
    </row>
    <row r="259" spans="3:14" x14ac:dyDescent="0.35">
      <c r="C259" s="252">
        <f t="shared" si="3"/>
        <v>221</v>
      </c>
      <c r="D259" s="243">
        <f>VResPlus!O226</f>
        <v>0</v>
      </c>
      <c r="E259" s="240">
        <f>VResPlus!P226</f>
        <v>0</v>
      </c>
      <c r="F259" s="236">
        <f>VResPlus!Q226</f>
        <v>0</v>
      </c>
      <c r="G259" s="236">
        <f>VResPlus!S226</f>
        <v>0</v>
      </c>
      <c r="H259" s="236">
        <f>VResPlus!U226</f>
        <v>0</v>
      </c>
      <c r="I259" s="236">
        <f>VResPlus!V226</f>
        <v>0</v>
      </c>
      <c r="J259" s="241">
        <f>VResPlus!W226</f>
        <v>0</v>
      </c>
      <c r="K259" s="236">
        <f>VResPlus!X226</f>
        <v>0</v>
      </c>
      <c r="L259" s="237"/>
      <c r="M259" s="242">
        <v>0</v>
      </c>
      <c r="N259" s="238"/>
    </row>
    <row r="260" spans="3:14" x14ac:dyDescent="0.35">
      <c r="C260" s="252">
        <f t="shared" si="3"/>
        <v>222</v>
      </c>
      <c r="D260" s="243">
        <f>VResPlus!O227</f>
        <v>0</v>
      </c>
      <c r="E260" s="240">
        <f>VResPlus!P227</f>
        <v>0</v>
      </c>
      <c r="F260" s="236">
        <f>VResPlus!Q227</f>
        <v>0</v>
      </c>
      <c r="G260" s="236">
        <f>VResPlus!S227</f>
        <v>0</v>
      </c>
      <c r="H260" s="236">
        <f>VResPlus!U227</f>
        <v>0</v>
      </c>
      <c r="I260" s="236">
        <f>VResPlus!V227</f>
        <v>0</v>
      </c>
      <c r="J260" s="241">
        <f>VResPlus!W227</f>
        <v>0</v>
      </c>
      <c r="K260" s="236">
        <f>VResPlus!X227</f>
        <v>0</v>
      </c>
      <c r="L260" s="237"/>
      <c r="M260" s="242">
        <v>0</v>
      </c>
      <c r="N260" s="238"/>
    </row>
    <row r="261" spans="3:14" x14ac:dyDescent="0.35">
      <c r="C261" s="252">
        <f t="shared" si="3"/>
        <v>223</v>
      </c>
      <c r="D261" s="243">
        <f>VResPlus!O228</f>
        <v>0</v>
      </c>
      <c r="E261" s="240">
        <f>VResPlus!P228</f>
        <v>0</v>
      </c>
      <c r="F261" s="236">
        <f>VResPlus!Q228</f>
        <v>0</v>
      </c>
      <c r="G261" s="236">
        <f>VResPlus!S228</f>
        <v>0</v>
      </c>
      <c r="H261" s="236">
        <f>VResPlus!U228</f>
        <v>0</v>
      </c>
      <c r="I261" s="236">
        <f>VResPlus!V228</f>
        <v>0</v>
      </c>
      <c r="J261" s="241">
        <f>VResPlus!W228</f>
        <v>0</v>
      </c>
      <c r="K261" s="236">
        <f>VResPlus!X228</f>
        <v>0</v>
      </c>
      <c r="L261" s="237"/>
      <c r="M261" s="242">
        <v>0</v>
      </c>
      <c r="N261" s="238"/>
    </row>
    <row r="262" spans="3:14" x14ac:dyDescent="0.35">
      <c r="C262" s="252">
        <f t="shared" si="3"/>
        <v>224</v>
      </c>
      <c r="D262" s="243">
        <f>VResPlus!O229</f>
        <v>0</v>
      </c>
      <c r="E262" s="240">
        <f>VResPlus!P229</f>
        <v>0</v>
      </c>
      <c r="F262" s="236">
        <f>VResPlus!Q229</f>
        <v>0</v>
      </c>
      <c r="G262" s="236">
        <f>VResPlus!S229</f>
        <v>0</v>
      </c>
      <c r="H262" s="236">
        <f>VResPlus!U229</f>
        <v>0</v>
      </c>
      <c r="I262" s="236">
        <f>VResPlus!V229</f>
        <v>0</v>
      </c>
      <c r="J262" s="241">
        <f>VResPlus!W229</f>
        <v>0</v>
      </c>
      <c r="K262" s="236">
        <f>VResPlus!X229</f>
        <v>0</v>
      </c>
      <c r="L262" s="237"/>
      <c r="M262" s="242">
        <v>0</v>
      </c>
      <c r="N262" s="238"/>
    </row>
    <row r="263" spans="3:14" x14ac:dyDescent="0.35">
      <c r="C263" s="252">
        <f t="shared" si="3"/>
        <v>225</v>
      </c>
      <c r="D263" s="243">
        <f>VResPlus!O230</f>
        <v>0</v>
      </c>
      <c r="E263" s="240">
        <f>VResPlus!P230</f>
        <v>0</v>
      </c>
      <c r="F263" s="236">
        <f>VResPlus!Q230</f>
        <v>0</v>
      </c>
      <c r="G263" s="236">
        <f>VResPlus!S230</f>
        <v>0</v>
      </c>
      <c r="H263" s="236">
        <f>VResPlus!U230</f>
        <v>0</v>
      </c>
      <c r="I263" s="236">
        <f>VResPlus!V230</f>
        <v>0</v>
      </c>
      <c r="J263" s="241">
        <f>VResPlus!W230</f>
        <v>0</v>
      </c>
      <c r="K263" s="236">
        <f>VResPlus!X230</f>
        <v>0</v>
      </c>
      <c r="L263" s="237"/>
      <c r="M263" s="242">
        <v>0</v>
      </c>
      <c r="N263" s="238"/>
    </row>
    <row r="264" spans="3:14" x14ac:dyDescent="0.35">
      <c r="C264" s="252">
        <f t="shared" si="3"/>
        <v>226</v>
      </c>
      <c r="D264" s="243">
        <f>VResPlus!O231</f>
        <v>0</v>
      </c>
      <c r="E264" s="240">
        <f>VResPlus!P231</f>
        <v>0</v>
      </c>
      <c r="F264" s="236">
        <f>VResPlus!Q231</f>
        <v>0</v>
      </c>
      <c r="G264" s="236">
        <f>VResPlus!S231</f>
        <v>0</v>
      </c>
      <c r="H264" s="236">
        <f>VResPlus!U231</f>
        <v>0</v>
      </c>
      <c r="I264" s="236">
        <f>VResPlus!V231</f>
        <v>0</v>
      </c>
      <c r="J264" s="241">
        <f>VResPlus!W231</f>
        <v>0</v>
      </c>
      <c r="K264" s="236">
        <f>VResPlus!X231</f>
        <v>0</v>
      </c>
      <c r="L264" s="237"/>
      <c r="M264" s="242">
        <v>0</v>
      </c>
      <c r="N264" s="238"/>
    </row>
    <row r="265" spans="3:14" x14ac:dyDescent="0.35">
      <c r="C265" s="252">
        <f t="shared" si="3"/>
        <v>227</v>
      </c>
      <c r="D265" s="243">
        <f>VResPlus!O232</f>
        <v>0</v>
      </c>
      <c r="E265" s="240">
        <f>VResPlus!P232</f>
        <v>0</v>
      </c>
      <c r="F265" s="236">
        <f>VResPlus!Q232</f>
        <v>0</v>
      </c>
      <c r="G265" s="236">
        <f>VResPlus!S232</f>
        <v>0</v>
      </c>
      <c r="H265" s="236">
        <f>VResPlus!U232</f>
        <v>0</v>
      </c>
      <c r="I265" s="236">
        <f>VResPlus!V232</f>
        <v>0</v>
      </c>
      <c r="J265" s="241">
        <f>VResPlus!W232</f>
        <v>0</v>
      </c>
      <c r="K265" s="236">
        <f>VResPlus!X232</f>
        <v>0</v>
      </c>
      <c r="L265" s="237"/>
      <c r="M265" s="242">
        <v>0</v>
      </c>
      <c r="N265" s="238"/>
    </row>
    <row r="266" spans="3:14" x14ac:dyDescent="0.35">
      <c r="C266" s="381">
        <f t="shared" si="3"/>
        <v>228</v>
      </c>
      <c r="D266" s="382">
        <f>VResPlus!O233</f>
        <v>0</v>
      </c>
      <c r="E266" s="383">
        <f>VResPlus!P233</f>
        <v>0</v>
      </c>
      <c r="F266" s="384">
        <f>VResPlus!Q233</f>
        <v>0</v>
      </c>
      <c r="G266" s="384">
        <f>VResPlus!S233</f>
        <v>0</v>
      </c>
      <c r="H266" s="384">
        <f>VResPlus!U233</f>
        <v>0</v>
      </c>
      <c r="I266" s="384">
        <f>VResPlus!V233</f>
        <v>0</v>
      </c>
      <c r="J266" s="385">
        <f>VResPlus!W233</f>
        <v>0</v>
      </c>
      <c r="K266" s="384">
        <f>VResPlus!X233</f>
        <v>0</v>
      </c>
      <c r="L266" s="237"/>
      <c r="M266" s="386">
        <v>0</v>
      </c>
      <c r="N266" s="238"/>
    </row>
    <row r="267" spans="3:14" x14ac:dyDescent="0.35">
      <c r="C267" s="252">
        <f t="shared" si="3"/>
        <v>229</v>
      </c>
      <c r="D267" s="243">
        <f>VResPlus!O234</f>
        <v>0</v>
      </c>
      <c r="E267" s="240">
        <f>VResPlus!P234</f>
        <v>0</v>
      </c>
      <c r="F267" s="236">
        <f>VResPlus!Q234</f>
        <v>0</v>
      </c>
      <c r="G267" s="236">
        <f>VResPlus!S234</f>
        <v>0</v>
      </c>
      <c r="H267" s="236">
        <f>VResPlus!U234</f>
        <v>0</v>
      </c>
      <c r="I267" s="236">
        <f>VResPlus!V234</f>
        <v>0</v>
      </c>
      <c r="J267" s="241">
        <f>VResPlus!W234</f>
        <v>0</v>
      </c>
      <c r="K267" s="236">
        <f>VResPlus!X234</f>
        <v>0</v>
      </c>
      <c r="L267" s="237"/>
      <c r="M267" s="242">
        <v>0</v>
      </c>
      <c r="N267" s="238"/>
    </row>
    <row r="268" spans="3:14" x14ac:dyDescent="0.35">
      <c r="C268" s="252">
        <f t="shared" si="3"/>
        <v>230</v>
      </c>
      <c r="D268" s="243">
        <f>VResPlus!O235</f>
        <v>0</v>
      </c>
      <c r="E268" s="240">
        <f>VResPlus!P235</f>
        <v>0</v>
      </c>
      <c r="F268" s="236">
        <f>VResPlus!Q235</f>
        <v>0</v>
      </c>
      <c r="G268" s="236">
        <f>VResPlus!S235</f>
        <v>0</v>
      </c>
      <c r="H268" s="236">
        <f>VResPlus!U235</f>
        <v>0</v>
      </c>
      <c r="I268" s="236">
        <f>VResPlus!V235</f>
        <v>0</v>
      </c>
      <c r="J268" s="241">
        <f>VResPlus!W235</f>
        <v>0</v>
      </c>
      <c r="K268" s="236">
        <f>VResPlus!X235</f>
        <v>0</v>
      </c>
      <c r="L268" s="237"/>
      <c r="M268" s="242">
        <v>0</v>
      </c>
      <c r="N268" s="238"/>
    </row>
    <row r="269" spans="3:14" x14ac:dyDescent="0.35">
      <c r="C269" s="252">
        <f t="shared" si="3"/>
        <v>231</v>
      </c>
      <c r="D269" s="243">
        <f>VResPlus!O236</f>
        <v>0</v>
      </c>
      <c r="E269" s="240">
        <f>VResPlus!P236</f>
        <v>0</v>
      </c>
      <c r="F269" s="236">
        <f>VResPlus!Q236</f>
        <v>0</v>
      </c>
      <c r="G269" s="236">
        <f>VResPlus!S236</f>
        <v>0</v>
      </c>
      <c r="H269" s="236">
        <f>VResPlus!U236</f>
        <v>0</v>
      </c>
      <c r="I269" s="236">
        <f>VResPlus!V236</f>
        <v>0</v>
      </c>
      <c r="J269" s="241">
        <f>VResPlus!W236</f>
        <v>0</v>
      </c>
      <c r="K269" s="236">
        <f>VResPlus!X236</f>
        <v>0</v>
      </c>
      <c r="L269" s="237"/>
      <c r="M269" s="242">
        <v>0</v>
      </c>
      <c r="N269" s="238"/>
    </row>
    <row r="270" spans="3:14" x14ac:dyDescent="0.35">
      <c r="C270" s="252">
        <f t="shared" si="3"/>
        <v>232</v>
      </c>
      <c r="D270" s="243">
        <f>VResPlus!O237</f>
        <v>0</v>
      </c>
      <c r="E270" s="240">
        <f>VResPlus!P237</f>
        <v>0</v>
      </c>
      <c r="F270" s="236">
        <f>VResPlus!Q237</f>
        <v>0</v>
      </c>
      <c r="G270" s="236">
        <f>VResPlus!S237</f>
        <v>0</v>
      </c>
      <c r="H270" s="236">
        <f>VResPlus!U237</f>
        <v>0</v>
      </c>
      <c r="I270" s="236">
        <f>VResPlus!V237</f>
        <v>0</v>
      </c>
      <c r="J270" s="241">
        <f>VResPlus!W237</f>
        <v>0</v>
      </c>
      <c r="K270" s="236">
        <f>VResPlus!X237</f>
        <v>0</v>
      </c>
      <c r="L270" s="237"/>
      <c r="M270" s="242">
        <v>0</v>
      </c>
      <c r="N270" s="238"/>
    </row>
    <row r="271" spans="3:14" x14ac:dyDescent="0.35">
      <c r="C271" s="252">
        <f t="shared" si="3"/>
        <v>233</v>
      </c>
      <c r="D271" s="243">
        <f>VResPlus!O238</f>
        <v>0</v>
      </c>
      <c r="E271" s="240">
        <f>VResPlus!P238</f>
        <v>0</v>
      </c>
      <c r="F271" s="236">
        <f>VResPlus!Q238</f>
        <v>0</v>
      </c>
      <c r="G271" s="236">
        <f>VResPlus!S238</f>
        <v>0</v>
      </c>
      <c r="H271" s="236">
        <f>VResPlus!U238</f>
        <v>0</v>
      </c>
      <c r="I271" s="236">
        <f>VResPlus!V238</f>
        <v>0</v>
      </c>
      <c r="J271" s="241">
        <f>VResPlus!W238</f>
        <v>0</v>
      </c>
      <c r="K271" s="236">
        <f>VResPlus!X238</f>
        <v>0</v>
      </c>
      <c r="L271" s="237"/>
      <c r="M271" s="242">
        <v>0</v>
      </c>
      <c r="N271" s="238"/>
    </row>
    <row r="272" spans="3:14" x14ac:dyDescent="0.35">
      <c r="C272" s="252">
        <f t="shared" si="3"/>
        <v>234</v>
      </c>
      <c r="D272" s="243">
        <f>VResPlus!O239</f>
        <v>0</v>
      </c>
      <c r="E272" s="240">
        <f>VResPlus!P239</f>
        <v>0</v>
      </c>
      <c r="F272" s="236">
        <f>VResPlus!Q239</f>
        <v>0</v>
      </c>
      <c r="G272" s="236">
        <f>VResPlus!S239</f>
        <v>0</v>
      </c>
      <c r="H272" s="236">
        <f>VResPlus!U239</f>
        <v>0</v>
      </c>
      <c r="I272" s="236">
        <f>VResPlus!V239</f>
        <v>0</v>
      </c>
      <c r="J272" s="241">
        <f>VResPlus!W239</f>
        <v>0</v>
      </c>
      <c r="K272" s="236">
        <f>VResPlus!X239</f>
        <v>0</v>
      </c>
      <c r="L272" s="237"/>
      <c r="M272" s="242">
        <v>0</v>
      </c>
      <c r="N272" s="238"/>
    </row>
    <row r="273" spans="3:15" x14ac:dyDescent="0.35">
      <c r="C273" s="252">
        <f t="shared" si="3"/>
        <v>235</v>
      </c>
      <c r="D273" s="243">
        <f>VResPlus!O240</f>
        <v>0</v>
      </c>
      <c r="E273" s="240">
        <f>VResPlus!P240</f>
        <v>0</v>
      </c>
      <c r="F273" s="236">
        <f>VResPlus!Q240</f>
        <v>0</v>
      </c>
      <c r="G273" s="236">
        <f>VResPlus!S240</f>
        <v>0</v>
      </c>
      <c r="H273" s="236">
        <f>VResPlus!U240</f>
        <v>0</v>
      </c>
      <c r="I273" s="236">
        <f>VResPlus!V240</f>
        <v>0</v>
      </c>
      <c r="J273" s="241">
        <f>VResPlus!W240</f>
        <v>0</v>
      </c>
      <c r="K273" s="236">
        <f>VResPlus!X240</f>
        <v>0</v>
      </c>
      <c r="L273" s="237"/>
      <c r="M273" s="242">
        <v>0</v>
      </c>
      <c r="N273" s="238"/>
    </row>
    <row r="274" spans="3:15" x14ac:dyDescent="0.35">
      <c r="C274" s="252">
        <f t="shared" si="3"/>
        <v>236</v>
      </c>
      <c r="D274" s="243">
        <f>VResPlus!O241</f>
        <v>0</v>
      </c>
      <c r="E274" s="240">
        <f>VResPlus!P241</f>
        <v>0</v>
      </c>
      <c r="F274" s="236">
        <f>VResPlus!Q241</f>
        <v>0</v>
      </c>
      <c r="G274" s="236">
        <f>VResPlus!S241</f>
        <v>0</v>
      </c>
      <c r="H274" s="236">
        <f>VResPlus!U241</f>
        <v>0</v>
      </c>
      <c r="I274" s="236">
        <f>VResPlus!V241</f>
        <v>0</v>
      </c>
      <c r="J274" s="241">
        <f>VResPlus!W241</f>
        <v>0</v>
      </c>
      <c r="K274" s="236">
        <f>VResPlus!X241</f>
        <v>0</v>
      </c>
      <c r="L274" s="237"/>
      <c r="M274" s="242">
        <v>0</v>
      </c>
      <c r="N274" s="238"/>
    </row>
    <row r="275" spans="3:15" x14ac:dyDescent="0.35">
      <c r="C275" s="252">
        <f t="shared" si="3"/>
        <v>237</v>
      </c>
      <c r="D275" s="243">
        <f>VResPlus!O242</f>
        <v>0</v>
      </c>
      <c r="E275" s="240">
        <f>VResPlus!P242</f>
        <v>0</v>
      </c>
      <c r="F275" s="236">
        <f>VResPlus!Q242</f>
        <v>0</v>
      </c>
      <c r="G275" s="236">
        <f>VResPlus!S242</f>
        <v>0</v>
      </c>
      <c r="H275" s="236">
        <f>VResPlus!U242</f>
        <v>0</v>
      </c>
      <c r="I275" s="236">
        <f>VResPlus!V242</f>
        <v>0</v>
      </c>
      <c r="J275" s="241">
        <f>VResPlus!W242</f>
        <v>0</v>
      </c>
      <c r="K275" s="236">
        <f>VResPlus!X242</f>
        <v>0</v>
      </c>
      <c r="L275" s="237"/>
      <c r="M275" s="242">
        <v>0</v>
      </c>
      <c r="N275" s="238"/>
    </row>
    <row r="276" spans="3:15" x14ac:dyDescent="0.35">
      <c r="C276" s="252">
        <f t="shared" si="3"/>
        <v>238</v>
      </c>
      <c r="D276" s="243">
        <f>VResPlus!O243</f>
        <v>0</v>
      </c>
      <c r="E276" s="240">
        <f>VResPlus!P243</f>
        <v>0</v>
      </c>
      <c r="F276" s="236">
        <f>VResPlus!Q243</f>
        <v>0</v>
      </c>
      <c r="G276" s="236">
        <f>VResPlus!S243</f>
        <v>0</v>
      </c>
      <c r="H276" s="236">
        <f>VResPlus!U243</f>
        <v>0</v>
      </c>
      <c r="I276" s="236">
        <f>VResPlus!V243</f>
        <v>0</v>
      </c>
      <c r="J276" s="241">
        <f>VResPlus!W243</f>
        <v>0</v>
      </c>
      <c r="K276" s="236">
        <f>VResPlus!X243</f>
        <v>0</v>
      </c>
      <c r="L276" s="237"/>
      <c r="M276" s="242">
        <v>0</v>
      </c>
      <c r="N276" s="238"/>
    </row>
    <row r="277" spans="3:15" x14ac:dyDescent="0.35">
      <c r="C277" s="252">
        <f t="shared" si="3"/>
        <v>239</v>
      </c>
      <c r="D277" s="243">
        <f>VResPlus!O244</f>
        <v>0</v>
      </c>
      <c r="E277" s="240">
        <f>VResPlus!P244</f>
        <v>0</v>
      </c>
      <c r="F277" s="236">
        <f>VResPlus!Q244</f>
        <v>0</v>
      </c>
      <c r="G277" s="236">
        <f>VResPlus!S244</f>
        <v>0</v>
      </c>
      <c r="H277" s="236">
        <f>VResPlus!U244</f>
        <v>0</v>
      </c>
      <c r="I277" s="236">
        <f>VResPlus!V244</f>
        <v>0</v>
      </c>
      <c r="J277" s="241">
        <f>VResPlus!W244</f>
        <v>0</v>
      </c>
      <c r="K277" s="236">
        <f>VResPlus!X244</f>
        <v>0</v>
      </c>
      <c r="L277" s="237"/>
      <c r="M277" s="242">
        <v>0</v>
      </c>
      <c r="N277" s="238"/>
    </row>
    <row r="278" spans="3:15" x14ac:dyDescent="0.35">
      <c r="C278" s="381">
        <f t="shared" si="3"/>
        <v>240</v>
      </c>
      <c r="D278" s="382">
        <f>VResPlus!O245</f>
        <v>0</v>
      </c>
      <c r="E278" s="383">
        <f>VResPlus!P245</f>
        <v>0</v>
      </c>
      <c r="F278" s="384">
        <f>VResPlus!Q245</f>
        <v>0</v>
      </c>
      <c r="G278" s="384">
        <f>VResPlus!S245</f>
        <v>0</v>
      </c>
      <c r="H278" s="384">
        <f>VResPlus!U245</f>
        <v>0</v>
      </c>
      <c r="I278" s="384">
        <f>VResPlus!V245</f>
        <v>0</v>
      </c>
      <c r="J278" s="385">
        <f>VResPlus!W245</f>
        <v>0</v>
      </c>
      <c r="K278" s="384">
        <f>VResPlus!X245</f>
        <v>0</v>
      </c>
      <c r="L278" s="237"/>
      <c r="M278" s="386">
        <v>0</v>
      </c>
      <c r="N278" s="238"/>
    </row>
    <row r="279" spans="3:15" ht="16" thickBot="1" x14ac:dyDescent="0.4">
      <c r="C279" s="253"/>
      <c r="D279" s="254"/>
      <c r="E279" s="255">
        <f t="shared" ref="E279:K279" si="4">SUM(E38:E278)</f>
        <v>0</v>
      </c>
      <c r="F279" s="256">
        <f t="shared" si="4"/>
        <v>0</v>
      </c>
      <c r="G279" s="256">
        <f t="shared" si="4"/>
        <v>0</v>
      </c>
      <c r="H279" s="256">
        <f t="shared" si="4"/>
        <v>0</v>
      </c>
      <c r="I279" s="256">
        <f t="shared" si="4"/>
        <v>0</v>
      </c>
      <c r="J279" s="256">
        <f t="shared" si="4"/>
        <v>0</v>
      </c>
      <c r="K279" s="257">
        <f t="shared" si="4"/>
        <v>0</v>
      </c>
      <c r="L279" s="237"/>
      <c r="M279" s="258">
        <v>0</v>
      </c>
      <c r="N279" s="238"/>
    </row>
    <row r="280" spans="3:15" ht="16" thickTop="1" x14ac:dyDescent="0.35">
      <c r="C280" s="387"/>
      <c r="D280" s="388"/>
      <c r="E280" s="389"/>
      <c r="F280" s="390"/>
      <c r="G280" s="390"/>
      <c r="H280" s="390"/>
      <c r="I280" s="390"/>
      <c r="J280" s="390"/>
      <c r="K280" s="390"/>
      <c r="L280" s="237"/>
      <c r="M280" s="242"/>
      <c r="N280" s="238"/>
    </row>
    <row r="281" spans="3:15" x14ac:dyDescent="0.35">
      <c r="C281" s="253"/>
      <c r="D281" s="254"/>
      <c r="E281" s="313"/>
      <c r="F281" s="237"/>
      <c r="G281" s="237"/>
      <c r="H281" s="237"/>
      <c r="I281" s="237"/>
      <c r="J281" s="237"/>
      <c r="K281" s="237"/>
      <c r="L281" s="237"/>
      <c r="M281" s="237"/>
      <c r="N281" s="238"/>
    </row>
    <row r="282" spans="3:15" ht="18" customHeight="1" thickBot="1" x14ac:dyDescent="0.4">
      <c r="C282" s="253"/>
      <c r="D282" s="254"/>
      <c r="E282" s="255"/>
      <c r="F282" s="256"/>
      <c r="G282" s="256"/>
      <c r="H282" s="256"/>
      <c r="I282" s="256"/>
      <c r="J282" s="256"/>
      <c r="K282" s="257"/>
      <c r="L282" s="237"/>
      <c r="M282" s="256"/>
    </row>
    <row r="283" spans="3:15" ht="18" customHeight="1" thickTop="1" x14ac:dyDescent="0.35">
      <c r="C283" s="186"/>
      <c r="D283" s="187"/>
      <c r="E283" s="314"/>
      <c r="F283" s="187"/>
      <c r="H283" s="315"/>
      <c r="M283" s="316"/>
      <c r="N283" s="317"/>
      <c r="O283" s="259"/>
    </row>
    <row r="284" spans="3:15" ht="18.75" customHeight="1" x14ac:dyDescent="0.35">
      <c r="C284" s="437" t="s">
        <v>11</v>
      </c>
      <c r="D284" s="437"/>
      <c r="E284" s="437"/>
      <c r="F284" s="437"/>
      <c r="G284" s="437"/>
      <c r="H284" s="437"/>
      <c r="I284" s="437"/>
      <c r="J284" s="437"/>
      <c r="K284" s="437"/>
      <c r="L284" s="437"/>
      <c r="M284" s="437"/>
    </row>
    <row r="285" spans="3:15" ht="3.75" customHeight="1" x14ac:dyDescent="0.35">
      <c r="N285" s="318"/>
      <c r="O285" s="260"/>
    </row>
    <row r="286" spans="3:15" ht="15.75" customHeight="1" x14ac:dyDescent="0.35">
      <c r="C286" s="435" t="s">
        <v>15</v>
      </c>
      <c r="D286" s="435"/>
      <c r="E286" s="435"/>
      <c r="F286" s="435"/>
      <c r="G286" s="435"/>
      <c r="H286" s="435"/>
      <c r="I286" s="435"/>
      <c r="J286" s="435"/>
      <c r="K286" s="435"/>
      <c r="L286" s="435"/>
      <c r="M286" s="435"/>
      <c r="N286" s="194"/>
    </row>
    <row r="287" spans="3:15" ht="15.75" customHeight="1" x14ac:dyDescent="0.35">
      <c r="C287" s="431" t="s">
        <v>16</v>
      </c>
      <c r="D287" s="431"/>
      <c r="E287" s="431"/>
      <c r="F287" s="431"/>
      <c r="G287" s="431"/>
      <c r="H287" s="431"/>
      <c r="I287" s="431"/>
      <c r="J287" s="431"/>
      <c r="K287" s="431"/>
      <c r="L287" s="431"/>
      <c r="M287" s="431"/>
      <c r="N287" s="194"/>
    </row>
    <row r="288" spans="3:15" ht="15.75" customHeight="1" x14ac:dyDescent="0.35">
      <c r="C288" s="431" t="s">
        <v>17</v>
      </c>
      <c r="D288" s="431"/>
      <c r="E288" s="431"/>
      <c r="F288" s="431"/>
      <c r="G288" s="431"/>
      <c r="H288" s="431"/>
      <c r="I288" s="431"/>
      <c r="J288" s="431"/>
      <c r="K288" s="431"/>
      <c r="L288" s="431"/>
      <c r="M288" s="431"/>
      <c r="N288" s="194"/>
    </row>
    <row r="289" spans="3:13" ht="18" customHeight="1" x14ac:dyDescent="0.35">
      <c r="C289" s="431" t="s">
        <v>18</v>
      </c>
      <c r="D289" s="431"/>
      <c r="E289" s="431"/>
      <c r="F289" s="431"/>
      <c r="G289" s="431"/>
      <c r="H289" s="431"/>
      <c r="I289" s="431"/>
      <c r="J289" s="431"/>
      <c r="K289" s="431"/>
      <c r="L289" s="431"/>
      <c r="M289" s="431"/>
    </row>
    <row r="290" spans="3:13" ht="17.25" customHeight="1" x14ac:dyDescent="0.35">
      <c r="C290" s="414" t="s">
        <v>170</v>
      </c>
      <c r="D290" s="414"/>
      <c r="E290" s="414"/>
      <c r="F290" s="414"/>
      <c r="G290" s="414"/>
      <c r="H290" s="414"/>
      <c r="I290" s="414"/>
      <c r="J290" s="414"/>
      <c r="K290" s="414"/>
      <c r="L290" s="414"/>
      <c r="M290" s="414"/>
    </row>
    <row r="291" spans="3:13" x14ac:dyDescent="0.35">
      <c r="C291" s="414" t="s">
        <v>172</v>
      </c>
      <c r="D291" s="414"/>
      <c r="E291" s="414"/>
      <c r="F291" s="414"/>
      <c r="G291" s="414"/>
      <c r="H291" s="414"/>
      <c r="I291" s="414"/>
      <c r="J291" s="414"/>
      <c r="K291" s="414"/>
      <c r="L291" s="414"/>
      <c r="M291" s="414"/>
    </row>
    <row r="292" spans="3:13" x14ac:dyDescent="0.35"/>
  </sheetData>
  <sheetProtection algorithmName="SHA-512" hashValue="mqi4kUcvomYdq084L5mkXmiH631unglV8peo37zinrLByJfquhPak+C7GXzCCEQV+6hK2fYeNwLtppoXaYlLWA==" saltValue="IPtnpxg1gRn7Uv/DXup6iQ==" spinCount="100000" sheet="1" selectLockedCells="1"/>
  <mergeCells count="41">
    <mergeCell ref="B6:D6"/>
    <mergeCell ref="K20:L20"/>
    <mergeCell ref="AD13:AE13"/>
    <mergeCell ref="AD12:AF12"/>
    <mergeCell ref="B3:N4"/>
    <mergeCell ref="F9:H9"/>
    <mergeCell ref="F8:H8"/>
    <mergeCell ref="B9:D9"/>
    <mergeCell ref="B8:D8"/>
    <mergeCell ref="AD14:AE14"/>
    <mergeCell ref="AD15:AE15"/>
    <mergeCell ref="B11:D11"/>
    <mergeCell ref="B20:D20"/>
    <mergeCell ref="F11:H11"/>
    <mergeCell ref="F20:H20"/>
    <mergeCell ref="B15:C15"/>
    <mergeCell ref="F12:G12"/>
    <mergeCell ref="C289:M289"/>
    <mergeCell ref="B26:C26"/>
    <mergeCell ref="B27:C27"/>
    <mergeCell ref="C288:M288"/>
    <mergeCell ref="C286:M286"/>
    <mergeCell ref="C287:M287"/>
    <mergeCell ref="B31:C31"/>
    <mergeCell ref="B29:C29"/>
    <mergeCell ref="C284:M284"/>
    <mergeCell ref="B32:C32"/>
    <mergeCell ref="F32:L32"/>
    <mergeCell ref="B17:C17"/>
    <mergeCell ref="B18:C18"/>
    <mergeCell ref="F28:N29"/>
    <mergeCell ref="C290:M290"/>
    <mergeCell ref="C291:M291"/>
    <mergeCell ref="N39:P39"/>
    <mergeCell ref="AD19:AE19"/>
    <mergeCell ref="C35:M35"/>
    <mergeCell ref="B23:D23"/>
    <mergeCell ref="B25:C25"/>
    <mergeCell ref="B22:C22"/>
    <mergeCell ref="B24:C24"/>
    <mergeCell ref="B33:C33"/>
  </mergeCells>
  <conditionalFormatting sqref="B28">
    <cfRule type="cellIs" dxfId="19" priority="6" operator="equal">
      <formula>"EL MONTO EN COFINANCIAMIENTO NO DEBE SER MAYOR AL VALOR DEL INMIEBLE, DISMINUYA EL MONTO DEL CREDITO DE INFONAVIT"</formula>
    </cfRule>
  </conditionalFormatting>
  <conditionalFormatting sqref="B22:C22">
    <cfRule type="cellIs" dxfId="18" priority="10" operator="equal">
      <formula>"Crédito mínimo $600,000.00"</formula>
    </cfRule>
  </conditionalFormatting>
  <conditionalFormatting sqref="B24:C26">
    <cfRule type="cellIs" dxfId="17" priority="2" operator="equal">
      <formula>"Crédito mínimo $600,000.00"</formula>
    </cfRule>
  </conditionalFormatting>
  <conditionalFormatting sqref="B27:C27">
    <cfRule type="expression" dxfId="16" priority="35">
      <formula>$B$9="COFINAVIT"</formula>
    </cfRule>
  </conditionalFormatting>
  <conditionalFormatting sqref="B31:D31">
    <cfRule type="expression" dxfId="15" priority="22">
      <formula>$B$9="COFINAVIT"</formula>
    </cfRule>
  </conditionalFormatting>
  <conditionalFormatting sqref="D27">
    <cfRule type="expression" dxfId="14" priority="25">
      <formula>$B$9="COFINAVIT"</formula>
    </cfRule>
  </conditionalFormatting>
  <conditionalFormatting sqref="D29">
    <cfRule type="expression" dxfId="13" priority="14">
      <formula>$B$9="SUSTITUCION"</formula>
    </cfRule>
  </conditionalFormatting>
  <conditionalFormatting sqref="E29">
    <cfRule type="cellIs" dxfId="12" priority="13" operator="equal">
      <formula>"NO ES POSIBLE FINANCIAR GASTOS NOTARIALES"</formula>
    </cfRule>
  </conditionalFormatting>
  <conditionalFormatting sqref="F13">
    <cfRule type="expression" dxfId="11" priority="9">
      <formula>$F$13="Aforo rebasa el máximo permitido"</formula>
    </cfRule>
  </conditionalFormatting>
  <conditionalFormatting sqref="F14">
    <cfRule type="expression" dxfId="10" priority="40">
      <formula>$F$14="Aforo rebasa el máximo permitido"</formula>
    </cfRule>
  </conditionalFormatting>
  <conditionalFormatting sqref="F32">
    <cfRule type="cellIs" dxfId="9" priority="5" operator="notEqual">
      <formula>""</formula>
    </cfRule>
  </conditionalFormatting>
  <conditionalFormatting sqref="F9:H9">
    <cfRule type="cellIs" dxfId="8" priority="1" operator="equal">
      <formula>"AFORO SUJETO A AUTORIZACION DE FACULTADOS"</formula>
    </cfRule>
    <cfRule type="expression" dxfId="7" priority="20">
      <formula>Q1="CEHBX+"</formula>
    </cfRule>
  </conditionalFormatting>
  <conditionalFormatting sqref="H13">
    <cfRule type="expression" dxfId="6" priority="45">
      <formula>$H$13&gt;$D$15+0.001</formula>
    </cfRule>
  </conditionalFormatting>
  <conditionalFormatting sqref="H14">
    <cfRule type="expression" dxfId="5" priority="39">
      <formula>$H$14&gt;$D$16</formula>
    </cfRule>
  </conditionalFormatting>
  <conditionalFormatting sqref="H16">
    <cfRule type="cellIs" dxfId="4" priority="11" operator="equal">
      <formula>"Edo. Cta. Hipoteca"</formula>
    </cfRule>
  </conditionalFormatting>
  <conditionalFormatting sqref="AA25">
    <cfRule type="expression" dxfId="3" priority="28">
      <formula>$F$14="Aforo rebasa el máximo permitido"</formula>
    </cfRule>
  </conditionalFormatting>
  <conditionalFormatting sqref="AD13:AE15">
    <cfRule type="expression" dxfId="2" priority="29">
      <formula>$B$9="COFINAVIT"</formula>
    </cfRule>
  </conditionalFormatting>
  <conditionalFormatting sqref="AD19:AE19">
    <cfRule type="expression" dxfId="1" priority="8">
      <formula>$B$9="COFINAVIT"</formula>
    </cfRule>
  </conditionalFormatting>
  <conditionalFormatting sqref="AD12:AF12">
    <cfRule type="expression" dxfId="0" priority="30">
      <formula>$B$9="COFINAVIT"</formula>
    </cfRule>
  </conditionalFormatting>
  <dataValidations count="6">
    <dataValidation type="list" allowBlank="1" showInputMessage="1" showErrorMessage="1" sqref="D29 D24:D26" xr:uid="{00000000-0002-0000-0000-000000000000}">
      <formula1>$AA$28:$AA$30</formula1>
    </dataValidation>
    <dataValidation allowBlank="1" showInputMessage="1" showErrorMessage="1" promptTitle="      Monto de crédito" prompt="Monto mínimo de crédito $400,000" sqref="D22" xr:uid="{00000000-0002-0000-0000-000002000000}"/>
    <dataValidation type="whole" allowBlank="1" showInputMessage="1" showErrorMessage="1" errorTitle="PLAZO" error="Capture periodo entre 1 y 20 años" sqref="D12" xr:uid="{00000000-0002-0000-0000-000003000000}">
      <formula1>1</formula1>
      <formula2>20</formula2>
    </dataValidation>
    <dataValidation type="list" allowBlank="1" showInputMessage="1" showErrorMessage="1" sqref="D32" xr:uid="{00000000-0002-0000-0000-000007000000}">
      <formula1>$BJ$33:$BJ$35</formula1>
    </dataValidation>
    <dataValidation allowBlank="1" showInputMessage="1" showErrorMessage="1" prompt="Introducir gastos notariales" sqref="H25" xr:uid="{812EFEB5-1959-4D78-997C-B19A00048877}"/>
    <dataValidation type="list" allowBlank="1" showInputMessage="1" showErrorMessage="1" sqref="B9:D9" xr:uid="{177C6CBC-2DA8-472D-A892-F35F9144E918}">
      <formula1>INDIRECT($CC$12)</formula1>
    </dataValidation>
  </dataValidations>
  <printOptions horizontalCentered="1"/>
  <pageMargins left="0.19685039370078741" right="0.19685039370078741" top="0.35433070866141736" bottom="0.59055118110236227" header="0" footer="0.19685039370078741"/>
  <pageSetup scale="40" orientation="portrait" verticalDpi="300" r:id="rId1"/>
  <headerFooter>
    <oddFooter>&amp;C&amp;"-,Negrita"&amp;8Grupo Financiero Ve por Más, S.A. de C.V.&amp;"-,Normal"
 Paseo de la Reforma No. 365, Col. Cuauhtémoc, C.P. 06500, México, D.F. Teléfono (55) 1102 1919
www.vepormas.com.mx&amp;R&amp;8&amp;P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VResPlus!$J$64:$J$65</xm:f>
          </x14:formula1>
          <xm:sqref>D18</xm:sqref>
        </x14:dataValidation>
        <x14:dataValidation type="list" allowBlank="1" showInputMessage="1" showErrorMessage="1" xr:uid="{00000000-0002-0000-0000-000009000000}">
          <x14:formula1>
            <xm:f>VResPlus!$J$70:$J$71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1:AK276"/>
  <sheetViews>
    <sheetView zoomScale="80" zoomScaleNormal="80" workbookViewId="0">
      <selection activeCell="F9" sqref="F9"/>
    </sheetView>
  </sheetViews>
  <sheetFormatPr baseColWidth="10" defaultColWidth="13.1796875" defaultRowHeight="14.5" x14ac:dyDescent="0.35"/>
  <cols>
    <col min="1" max="1" width="4.7265625" style="1" customWidth="1"/>
    <col min="2" max="2" width="13.7265625" style="1" customWidth="1"/>
    <col min="3" max="3" width="19.453125" style="1" customWidth="1"/>
    <col min="4" max="4" width="13.1796875" style="17" customWidth="1"/>
    <col min="5" max="5" width="30.1796875" style="1" customWidth="1"/>
    <col min="6" max="6" width="14.26953125" style="1" customWidth="1"/>
    <col min="7" max="7" width="4.7265625" style="17" customWidth="1"/>
    <col min="8" max="8" width="20.81640625" style="1" customWidth="1"/>
    <col min="9" max="9" width="14.54296875" style="1" bestFit="1" customWidth="1"/>
    <col min="10" max="11" width="11.81640625" style="1" customWidth="1"/>
    <col min="12" max="12" width="4.7265625" style="8" customWidth="1"/>
    <col min="13" max="13" width="8.1796875" customWidth="1"/>
    <col min="14" max="14" width="10.7265625" style="1" customWidth="1"/>
    <col min="15" max="15" width="15.81640625" style="1" customWidth="1"/>
    <col min="16" max="16" width="13.1796875" style="1" customWidth="1"/>
    <col min="17" max="17" width="13" style="1" customWidth="1"/>
    <col min="18" max="19" width="14.26953125" style="1" customWidth="1"/>
    <col min="20" max="20" width="11.453125" style="1" customWidth="1"/>
    <col min="21" max="22" width="9.54296875" style="1" customWidth="1"/>
    <col min="23" max="23" width="10.453125" style="1" customWidth="1"/>
    <col min="24" max="24" width="11.7265625" style="1" customWidth="1"/>
    <col min="25" max="25" width="11.7265625" style="1" bestFit="1" customWidth="1"/>
    <col min="26" max="26" width="2.7265625" style="17" customWidth="1"/>
    <col min="27" max="31" width="13.1796875" style="17" customWidth="1"/>
    <col min="32" max="32" width="13.1796875" style="1" customWidth="1"/>
    <col min="33" max="34" width="13.1796875" style="1"/>
    <col min="35" max="35" width="14.7265625" style="1" customWidth="1"/>
    <col min="36" max="36" width="13.453125" style="1" customWidth="1"/>
    <col min="37" max="16384" width="13.1796875" style="1"/>
  </cols>
  <sheetData>
    <row r="1" spans="1:36" s="17" customFormat="1" x14ac:dyDescent="0.35">
      <c r="L1" s="8"/>
      <c r="M1" s="8"/>
    </row>
    <row r="2" spans="1:36" s="8" customFormat="1" ht="15.5" x14ac:dyDescent="0.35">
      <c r="A2" s="17"/>
      <c r="B2" s="17"/>
      <c r="C2" s="17"/>
      <c r="H2" s="45"/>
      <c r="I2" s="471"/>
      <c r="J2" s="471"/>
      <c r="K2" s="471"/>
      <c r="L2" s="471"/>
      <c r="M2" s="471"/>
      <c r="N2" s="46"/>
      <c r="O2" s="44"/>
      <c r="P2" s="44"/>
      <c r="Q2" s="44"/>
      <c r="R2" s="17"/>
      <c r="S2" s="163">
        <f>(S6+U6+V6)/0.33</f>
        <v>0</v>
      </c>
      <c r="T2" s="17"/>
      <c r="W2" s="47"/>
    </row>
    <row r="3" spans="1:36" s="8" customFormat="1" ht="15" thickBot="1" x14ac:dyDescent="0.4">
      <c r="E3" s="68" t="s">
        <v>178</v>
      </c>
      <c r="N3" s="17"/>
      <c r="W3" s="17"/>
    </row>
    <row r="4" spans="1:36" ht="38.25" customHeight="1" x14ac:dyDescent="0.35">
      <c r="A4" s="17"/>
      <c r="B4" s="466" t="s">
        <v>89</v>
      </c>
      <c r="C4" s="467"/>
      <c r="D4" s="8"/>
      <c r="E4" s="476" t="s">
        <v>64</v>
      </c>
      <c r="F4" s="477"/>
      <c r="G4" s="21"/>
      <c r="H4" s="476" t="s">
        <v>90</v>
      </c>
      <c r="I4" s="477"/>
      <c r="J4" s="39"/>
      <c r="K4" s="39"/>
      <c r="M4" s="50" t="s">
        <v>9</v>
      </c>
      <c r="N4" s="51" t="s">
        <v>1</v>
      </c>
      <c r="O4" s="51" t="s">
        <v>2</v>
      </c>
      <c r="P4" s="51" t="s">
        <v>23</v>
      </c>
      <c r="Q4" s="51" t="s">
        <v>24</v>
      </c>
      <c r="R4" s="51" t="s">
        <v>25</v>
      </c>
      <c r="S4" s="51" t="s">
        <v>21</v>
      </c>
      <c r="T4" s="51" t="s">
        <v>33</v>
      </c>
      <c r="U4" s="51" t="s">
        <v>0</v>
      </c>
      <c r="V4" s="51" t="s">
        <v>29</v>
      </c>
      <c r="W4" s="51" t="s">
        <v>30</v>
      </c>
      <c r="X4" s="51" t="s">
        <v>27</v>
      </c>
      <c r="Y4" s="54" t="s">
        <v>32</v>
      </c>
      <c r="AA4" s="50" t="s">
        <v>2</v>
      </c>
      <c r="AB4" s="51" t="s">
        <v>23</v>
      </c>
      <c r="AC4" s="51" t="s">
        <v>24</v>
      </c>
      <c r="AD4" s="51" t="s">
        <v>25</v>
      </c>
      <c r="AE4" s="51" t="s">
        <v>21</v>
      </c>
      <c r="AF4" s="51" t="s">
        <v>0</v>
      </c>
      <c r="AG4" s="52" t="s">
        <v>26</v>
      </c>
      <c r="AH4" s="52" t="s">
        <v>31</v>
      </c>
      <c r="AI4" s="53" t="s">
        <v>34</v>
      </c>
      <c r="AJ4" s="144" t="s">
        <v>28</v>
      </c>
    </row>
    <row r="5" spans="1:36" s="2" customFormat="1" ht="13.5" customHeight="1" x14ac:dyDescent="0.25">
      <c r="A5" s="134"/>
      <c r="B5" s="136"/>
      <c r="C5" s="137"/>
      <c r="D5" s="135"/>
      <c r="E5" s="136"/>
      <c r="F5" s="137"/>
      <c r="G5" s="138"/>
      <c r="H5" s="136"/>
      <c r="I5" s="137"/>
      <c r="J5" s="139"/>
      <c r="K5" s="139"/>
      <c r="L5" s="138"/>
      <c r="M5" s="140"/>
      <c r="N5" s="141"/>
      <c r="O5" s="142"/>
      <c r="P5" s="143"/>
      <c r="Q5" s="143"/>
      <c r="R5" s="143"/>
      <c r="S5" s="143"/>
      <c r="T5" s="143"/>
      <c r="U5" s="143"/>
      <c r="V5" s="143"/>
      <c r="W5" s="143"/>
      <c r="X5" s="143"/>
      <c r="Y5" s="12"/>
      <c r="Z5" s="10"/>
      <c r="AA5" s="145"/>
      <c r="AB5" s="143"/>
      <c r="AC5" s="143"/>
      <c r="AD5" s="143"/>
      <c r="AE5" s="143"/>
      <c r="AF5" s="143"/>
      <c r="AG5" s="143"/>
      <c r="AH5" s="143"/>
      <c r="AI5" s="143">
        <f>-F11</f>
        <v>0</v>
      </c>
      <c r="AJ5" s="146">
        <f>-F11+F33</f>
        <v>1300</v>
      </c>
    </row>
    <row r="6" spans="1:36" s="2" customFormat="1" ht="13.5" customHeight="1" x14ac:dyDescent="0.3">
      <c r="A6" s="10"/>
      <c r="B6" s="55" t="s">
        <v>36</v>
      </c>
      <c r="C6" s="67" t="s">
        <v>124</v>
      </c>
      <c r="D6" s="18"/>
      <c r="E6" s="68" t="s">
        <v>54</v>
      </c>
      <c r="F6" s="81">
        <f>C19</f>
        <v>9.6500000000000002E-2</v>
      </c>
      <c r="G6" s="19"/>
      <c r="H6" s="71" t="s">
        <v>76</v>
      </c>
      <c r="I6" s="155">
        <f>AJ249</f>
        <v>0</v>
      </c>
      <c r="J6" s="40"/>
      <c r="K6" s="40"/>
      <c r="L6" s="19"/>
      <c r="M6" s="93">
        <v>1</v>
      </c>
      <c r="N6" s="94">
        <f t="shared" ref="N6:N17" si="0">C$19</f>
        <v>9.6500000000000002E-2</v>
      </c>
      <c r="O6" s="95">
        <f>F11</f>
        <v>0</v>
      </c>
      <c r="P6" s="96">
        <f t="shared" ref="P6:P37" si="1">O6*(N6/12)</f>
        <v>0</v>
      </c>
      <c r="Q6" s="96">
        <f>IF(R6-P6&lt;0,O6,R6-P6)</f>
        <v>0</v>
      </c>
      <c r="R6" s="96">
        <f t="shared" ref="R6:R37" si="2">IF(O6-F$14&lt;0,0,F$14)</f>
        <v>0</v>
      </c>
      <c r="S6" s="96">
        <f>P6+Q6</f>
        <v>0</v>
      </c>
      <c r="T6" s="96"/>
      <c r="U6" s="96">
        <f>IF('Simulador CH BX+'!$D$18="Monto de crédito",$F$11*$F$15,O6*$F$15)</f>
        <v>0</v>
      </c>
      <c r="V6" s="96">
        <f>IF('Simulador CH BX+'!$D$17="Valor Destructible",IF(O6-$F$18&lt;0,0,$F$18),IF(M6&gt;$F$8,0,MAX(O6,$F$10)*$F$17))</f>
        <v>0</v>
      </c>
      <c r="W6" s="96">
        <f t="shared" ref="W6:W37" si="3">IF(O6-F$22&lt;0,0,F$22)</f>
        <v>0</v>
      </c>
      <c r="X6" s="96">
        <f t="shared" ref="X6:X37" si="4">P6+Q6+U6+V6+W6</f>
        <v>0</v>
      </c>
      <c r="Y6" s="97">
        <f>'Simulador CH BX+'!M39</f>
        <v>0</v>
      </c>
      <c r="Z6" s="10"/>
      <c r="AA6" s="147">
        <f>F11</f>
        <v>0</v>
      </c>
      <c r="AB6" s="96">
        <f t="shared" ref="AB6:AB37" si="5">AA6*(N6/12)</f>
        <v>0</v>
      </c>
      <c r="AC6" s="96">
        <f>AD6-AB6</f>
        <v>0</v>
      </c>
      <c r="AD6" s="96">
        <f>IF(M6&gt;$F$8,0,F$14)</f>
        <v>0</v>
      </c>
      <c r="AE6" s="96">
        <f>AB6+AC6</f>
        <v>0</v>
      </c>
      <c r="AF6" s="96">
        <f>IF('Simulador CH BX+'!$D$18="Monto de crédito",$F$11*$F$15,AA6*$F$15)</f>
        <v>0</v>
      </c>
      <c r="AG6" s="96">
        <f>IF('Simulador CH BX+'!$D$17="Valor Destructible",IF(M6&gt;$F$8,0,$F$20),IF(M6&gt;$F$8,0,MAX(AA6,$F$10)*$F$19))</f>
        <v>0</v>
      </c>
      <c r="AH6" s="96">
        <f>IF(M6&gt;$F$8,0,F$21)</f>
        <v>299</v>
      </c>
      <c r="AI6" s="96">
        <f>IF(M6&gt;$F$8,0,F$14+AH6)</f>
        <v>299</v>
      </c>
      <c r="AJ6" s="179">
        <f>IF(M6&gt;$F$8,0,AC6+AB6+AF6+AG6+AH6)</f>
        <v>299</v>
      </c>
    </row>
    <row r="7" spans="1:36" s="2" customFormat="1" ht="13.5" customHeight="1" x14ac:dyDescent="0.3">
      <c r="A7" s="10"/>
      <c r="B7" s="55" t="s">
        <v>35</v>
      </c>
      <c r="C7" s="67" t="str">
        <f>'Simulador CH BX+'!B9</f>
        <v>30% ENGANCHE 9.65%</v>
      </c>
      <c r="D7" s="18"/>
      <c r="E7" s="68" t="s">
        <v>55</v>
      </c>
      <c r="F7" s="82">
        <f>F6/12</f>
        <v>8.0416666666666674E-3</v>
      </c>
      <c r="G7" s="19"/>
      <c r="H7" s="71" t="s">
        <v>7</v>
      </c>
      <c r="I7" s="3">
        <f>C9</f>
        <v>9.6500000000000002E-2</v>
      </c>
      <c r="J7" s="40"/>
      <c r="K7" s="40"/>
      <c r="L7" s="33"/>
      <c r="M7" s="98">
        <v>2</v>
      </c>
      <c r="N7" s="99">
        <f t="shared" si="0"/>
        <v>9.6500000000000002E-2</v>
      </c>
      <c r="O7" s="100">
        <f t="shared" ref="O7:O38" si="6">(O6-Q6)-Y6</f>
        <v>0</v>
      </c>
      <c r="P7" s="101">
        <f t="shared" si="1"/>
        <v>0</v>
      </c>
      <c r="Q7" s="101">
        <f t="shared" ref="Q7:Q37" si="7">IF(R7-P7&lt;0,O7,R7-P7)</f>
        <v>0</v>
      </c>
      <c r="R7" s="101">
        <f t="shared" si="2"/>
        <v>0</v>
      </c>
      <c r="S7" s="101">
        <f t="shared" ref="S7:S70" si="8">P7+Q7</f>
        <v>0</v>
      </c>
      <c r="T7" s="101"/>
      <c r="U7" s="101">
        <f>IF('Simulador CH BX+'!$D$18="Monto de crédito",$F$11*$F$15,O7*$F$15)</f>
        <v>0</v>
      </c>
      <c r="V7" s="101">
        <f>IF('Simulador CH BX+'!$D$17="Valor Destructible",IF(O7-$F$18&lt;0,0,$F$18),IF(M7&gt;$F$8,0,MAX(O7,$F$10)*$F$17))</f>
        <v>0</v>
      </c>
      <c r="W7" s="101">
        <f t="shared" si="3"/>
        <v>0</v>
      </c>
      <c r="X7" s="101">
        <f t="shared" si="4"/>
        <v>0</v>
      </c>
      <c r="Y7" s="102">
        <f>'Simulador CH BX+'!M40</f>
        <v>0</v>
      </c>
      <c r="Z7" s="10"/>
      <c r="AA7" s="148">
        <f>AA6-AC6</f>
        <v>0</v>
      </c>
      <c r="AB7" s="101">
        <f t="shared" si="5"/>
        <v>0</v>
      </c>
      <c r="AC7" s="101">
        <f t="shared" ref="AC7:AC70" si="9">AD7-AB7</f>
        <v>0</v>
      </c>
      <c r="AD7" s="101">
        <f t="shared" ref="AD7:AD70" si="10">IF(M7&gt;$F$8,0,F$14)</f>
        <v>0</v>
      </c>
      <c r="AE7" s="101">
        <f t="shared" ref="AE7:AE70" si="11">AB7+AC7</f>
        <v>0</v>
      </c>
      <c r="AF7" s="101">
        <f>IF('Simulador CH BX+'!$D$18="Monto de crédito",$F$11*$F$15,AA7*$F$15)</f>
        <v>0</v>
      </c>
      <c r="AG7" s="101">
        <f>IF('Simulador CH BX+'!$D$17="Valor Destructible",IF(M7&gt;$F$8,0,$F$20),IF(M7&gt;$F$8,0,MAX(AA7,$F$10)*$F$19))</f>
        <v>0</v>
      </c>
      <c r="AH7" s="101">
        <f t="shared" ref="AH7:AH70" si="12">IF(M7&gt;$F$8,0,F$21)</f>
        <v>299</v>
      </c>
      <c r="AI7" s="101">
        <f t="shared" ref="AI7:AI70" si="13">IF(M7&gt;$F$8,0,F$14+AH7)</f>
        <v>299</v>
      </c>
      <c r="AJ7" s="361">
        <f t="shared" ref="AJ7:AJ70" si="14">IF(M7&gt;$F$8,0,AC7+AB7+AF7+AG7+AH7)</f>
        <v>299</v>
      </c>
    </row>
    <row r="8" spans="1:36" s="2" customFormat="1" ht="13.5" customHeight="1" x14ac:dyDescent="0.3">
      <c r="A8" s="10"/>
      <c r="B8" s="55" t="s">
        <v>118</v>
      </c>
      <c r="C8" s="165">
        <f>'Simulador CH BX+'!D12</f>
        <v>20</v>
      </c>
      <c r="D8" s="18"/>
      <c r="E8" s="68" t="s">
        <v>56</v>
      </c>
      <c r="F8" s="332">
        <f>C8*12</f>
        <v>240</v>
      </c>
      <c r="G8" s="19"/>
      <c r="H8" s="72" t="s">
        <v>77</v>
      </c>
      <c r="I8" s="3" t="e">
        <f>AI249</f>
        <v>#NUM!</v>
      </c>
      <c r="J8" s="40"/>
      <c r="K8" s="40"/>
      <c r="L8" s="33"/>
      <c r="M8" s="98">
        <v>3</v>
      </c>
      <c r="N8" s="99">
        <f t="shared" si="0"/>
        <v>9.6500000000000002E-2</v>
      </c>
      <c r="O8" s="100">
        <f t="shared" si="6"/>
        <v>0</v>
      </c>
      <c r="P8" s="101">
        <f t="shared" si="1"/>
        <v>0</v>
      </c>
      <c r="Q8" s="101">
        <f t="shared" si="7"/>
        <v>0</v>
      </c>
      <c r="R8" s="101">
        <f t="shared" si="2"/>
        <v>0</v>
      </c>
      <c r="S8" s="101">
        <f t="shared" si="8"/>
        <v>0</v>
      </c>
      <c r="T8" s="101"/>
      <c r="U8" s="101">
        <f>IF('Simulador CH BX+'!$D$18="Monto de crédito",$F$11*$F$15,O8*$F$15)</f>
        <v>0</v>
      </c>
      <c r="V8" s="101">
        <f>IF('Simulador CH BX+'!$D$17="Valor Destructible",IF(O8-$F$18&lt;0,0,$F$18),IF(M8&gt;$F$8,0,MAX(O8,$F$10)*$F$17))</f>
        <v>0</v>
      </c>
      <c r="W8" s="101">
        <f t="shared" si="3"/>
        <v>0</v>
      </c>
      <c r="X8" s="101">
        <f t="shared" si="4"/>
        <v>0</v>
      </c>
      <c r="Y8" s="102">
        <f>'Simulador CH BX+'!M41</f>
        <v>0</v>
      </c>
      <c r="Z8" s="10"/>
      <c r="AA8" s="149">
        <f t="shared" ref="AA8:AA71" si="15">AA7-AC7</f>
        <v>0</v>
      </c>
      <c r="AB8" s="101">
        <f t="shared" si="5"/>
        <v>0</v>
      </c>
      <c r="AC8" s="101">
        <f t="shared" si="9"/>
        <v>0</v>
      </c>
      <c r="AD8" s="101">
        <f t="shared" si="10"/>
        <v>0</v>
      </c>
      <c r="AE8" s="101">
        <f t="shared" si="11"/>
        <v>0</v>
      </c>
      <c r="AF8" s="101">
        <f>IF('Simulador CH BX+'!$D$18="Monto de crédito",$F$11*$F$15,AA8*$F$15)</f>
        <v>0</v>
      </c>
      <c r="AG8" s="101">
        <f>IF('Simulador CH BX+'!$D$17="Valor Destructible",IF(M8&gt;$F$8,0,$F$20),IF(M8&gt;$F$8,0,MAX(AA8,$F$10)*$F$19))</f>
        <v>0</v>
      </c>
      <c r="AH8" s="101">
        <f t="shared" si="12"/>
        <v>299</v>
      </c>
      <c r="AI8" s="101">
        <f t="shared" si="13"/>
        <v>299</v>
      </c>
      <c r="AJ8" s="361">
        <f t="shared" si="14"/>
        <v>299</v>
      </c>
    </row>
    <row r="9" spans="1:36" s="2" customFormat="1" ht="13.5" customHeight="1" x14ac:dyDescent="0.3">
      <c r="A9" s="10"/>
      <c r="B9" s="55" t="s">
        <v>37</v>
      </c>
      <c r="C9" s="167">
        <f>IF('Simulador CH BX+'!$M$9="CLIENTE ESPECIAL",VLOOKUP('Simulador CH BX+'!$B$9,$H$60:$K$65,3,FALSE),VLOOKUP('Simulador CH BX+'!$B$9,$H$36:$K$50,3,FALSE))</f>
        <v>9.6500000000000002E-2</v>
      </c>
      <c r="D9" s="18"/>
      <c r="E9" s="68" t="s">
        <v>58</v>
      </c>
      <c r="F9" s="87">
        <f>'Simulador CH BX+'!D21</f>
        <v>0</v>
      </c>
      <c r="G9" s="19"/>
      <c r="H9" s="71" t="s">
        <v>79</v>
      </c>
      <c r="I9" s="4">
        <v>180</v>
      </c>
      <c r="J9" s="42"/>
      <c r="K9" s="42"/>
      <c r="L9" s="19"/>
      <c r="M9" s="98">
        <v>4</v>
      </c>
      <c r="N9" s="99">
        <f t="shared" si="0"/>
        <v>9.6500000000000002E-2</v>
      </c>
      <c r="O9" s="100">
        <f t="shared" si="6"/>
        <v>0</v>
      </c>
      <c r="P9" s="101">
        <f t="shared" si="1"/>
        <v>0</v>
      </c>
      <c r="Q9" s="101">
        <f t="shared" si="7"/>
        <v>0</v>
      </c>
      <c r="R9" s="101">
        <f t="shared" si="2"/>
        <v>0</v>
      </c>
      <c r="S9" s="101">
        <f t="shared" si="8"/>
        <v>0</v>
      </c>
      <c r="T9" s="101"/>
      <c r="U9" s="101">
        <f>IF('Simulador CH BX+'!$D$18="Monto de crédito",$F$11*$F$15,O9*$F$15)</f>
        <v>0</v>
      </c>
      <c r="V9" s="101">
        <f>IF('Simulador CH BX+'!$D$17="Valor Destructible",IF(O9-$F$18&lt;0,0,$F$18),IF(M9&gt;$F$8,0,MAX(O9,$F$10)*$F$17))</f>
        <v>0</v>
      </c>
      <c r="W9" s="101">
        <f t="shared" si="3"/>
        <v>0</v>
      </c>
      <c r="X9" s="101">
        <f t="shared" si="4"/>
        <v>0</v>
      </c>
      <c r="Y9" s="102">
        <f>'Simulador CH BX+'!M42</f>
        <v>0</v>
      </c>
      <c r="Z9" s="10"/>
      <c r="AA9" s="149">
        <f t="shared" si="15"/>
        <v>0</v>
      </c>
      <c r="AB9" s="101">
        <f t="shared" si="5"/>
        <v>0</v>
      </c>
      <c r="AC9" s="101">
        <f t="shared" si="9"/>
        <v>0</v>
      </c>
      <c r="AD9" s="101">
        <f t="shared" si="10"/>
        <v>0</v>
      </c>
      <c r="AE9" s="101">
        <f t="shared" si="11"/>
        <v>0</v>
      </c>
      <c r="AF9" s="101">
        <f>IF('Simulador CH BX+'!$D$18="Monto de crédito",$F$11*$F$15,AA9*$F$15)</f>
        <v>0</v>
      </c>
      <c r="AG9" s="101">
        <f>IF('Simulador CH BX+'!$D$17="Valor Destructible",IF(M9&gt;$F$8,0,$F$20),IF(M9&gt;$F$8,0,MAX(AA9,$F$10)*$F$19))</f>
        <v>0</v>
      </c>
      <c r="AH9" s="101">
        <f t="shared" si="12"/>
        <v>299</v>
      </c>
      <c r="AI9" s="101">
        <f t="shared" si="13"/>
        <v>299</v>
      </c>
      <c r="AJ9" s="361">
        <f t="shared" si="14"/>
        <v>299</v>
      </c>
    </row>
    <row r="10" spans="1:36" s="2" customFormat="1" ht="13.5" customHeight="1" x14ac:dyDescent="0.3">
      <c r="A10" s="10"/>
      <c r="B10" s="55" t="s">
        <v>125</v>
      </c>
      <c r="C10" s="169">
        <f>IF('Simulador CH BX+'!$M$9="CLIENTE ESPECIAL",VLOOKUP('Simulador CH BX+'!$B$9,$H$60:$K$65,2,FALSE),VLOOKUP('Simulador CH BX+'!$B$9,$H$36:$K$50,2,FALSE))</f>
        <v>0.7</v>
      </c>
      <c r="D10" s="18"/>
      <c r="E10" s="68" t="s">
        <v>81</v>
      </c>
      <c r="F10" s="84">
        <f>'Simulador CH BX+'!D33</f>
        <v>0</v>
      </c>
      <c r="G10" s="22"/>
      <c r="H10" s="73" t="s">
        <v>78</v>
      </c>
      <c r="I10" s="56" t="e">
        <f>(R246/F14)</f>
        <v>#DIV/0!</v>
      </c>
      <c r="J10" s="41"/>
      <c r="K10" s="41"/>
      <c r="L10" s="19"/>
      <c r="M10" s="98">
        <v>5</v>
      </c>
      <c r="N10" s="99">
        <f t="shared" si="0"/>
        <v>9.6500000000000002E-2</v>
      </c>
      <c r="O10" s="100">
        <f t="shared" si="6"/>
        <v>0</v>
      </c>
      <c r="P10" s="101">
        <f t="shared" si="1"/>
        <v>0</v>
      </c>
      <c r="Q10" s="101">
        <f t="shared" si="7"/>
        <v>0</v>
      </c>
      <c r="R10" s="101">
        <f t="shared" si="2"/>
        <v>0</v>
      </c>
      <c r="S10" s="101">
        <f t="shared" si="8"/>
        <v>0</v>
      </c>
      <c r="T10" s="101"/>
      <c r="U10" s="101">
        <f>IF('Simulador CH BX+'!$D$18="Monto de crédito",$F$11*$F$15,O10*$F$15)</f>
        <v>0</v>
      </c>
      <c r="V10" s="101">
        <f>IF('Simulador CH BX+'!$D$17="Valor Destructible",IF(O10-$F$18&lt;0,0,$F$18),IF(M10&gt;$F$8,0,MAX(O10,$F$10)*$F$17))</f>
        <v>0</v>
      </c>
      <c r="W10" s="101">
        <f t="shared" si="3"/>
        <v>0</v>
      </c>
      <c r="X10" s="101">
        <f t="shared" si="4"/>
        <v>0</v>
      </c>
      <c r="Y10" s="102">
        <f>'Simulador CH BX+'!M43</f>
        <v>0</v>
      </c>
      <c r="Z10" s="10"/>
      <c r="AA10" s="149">
        <f t="shared" si="15"/>
        <v>0</v>
      </c>
      <c r="AB10" s="101">
        <f t="shared" si="5"/>
        <v>0</v>
      </c>
      <c r="AC10" s="101">
        <f t="shared" si="9"/>
        <v>0</v>
      </c>
      <c r="AD10" s="101">
        <f t="shared" si="10"/>
        <v>0</v>
      </c>
      <c r="AE10" s="101">
        <f t="shared" si="11"/>
        <v>0</v>
      </c>
      <c r="AF10" s="101">
        <f>IF('Simulador CH BX+'!$D$18="Monto de crédito",$F$11*$F$15,AA10*$F$15)</f>
        <v>0</v>
      </c>
      <c r="AG10" s="101">
        <f>IF('Simulador CH BX+'!$D$17="Valor Destructible",IF(M10&gt;$F$8,0,$F$20),IF(M10&gt;$F$8,0,MAX(AA10,$F$10)*$F$19))</f>
        <v>0</v>
      </c>
      <c r="AH10" s="101">
        <f t="shared" si="12"/>
        <v>299</v>
      </c>
      <c r="AI10" s="101">
        <f t="shared" si="13"/>
        <v>299</v>
      </c>
      <c r="AJ10" s="361">
        <f t="shared" si="14"/>
        <v>299</v>
      </c>
    </row>
    <row r="11" spans="1:36" s="2" customFormat="1" ht="13.5" customHeight="1" thickBot="1" x14ac:dyDescent="0.35">
      <c r="A11" s="10"/>
      <c r="B11" s="168" t="s">
        <v>120</v>
      </c>
      <c r="C11" s="15" t="str">
        <f>IF('Simulador CH BX+'!$M$1="CEHBX+","CLIENTE ESPECIAL","")</f>
        <v/>
      </c>
      <c r="D11" s="18"/>
      <c r="E11" s="68" t="s">
        <v>57</v>
      </c>
      <c r="F11" s="120">
        <f>IF('Simulador CH BX+'!D29="SI",'Simulador CH BX+'!D22+'Simulador CH BX+'!H25,'Simulador CH BX+'!D22)</f>
        <v>0</v>
      </c>
      <c r="G11" s="23"/>
      <c r="H11" s="74" t="s">
        <v>88</v>
      </c>
      <c r="I11" s="5" t="e">
        <f>F13*1000</f>
        <v>#DIV/0!</v>
      </c>
      <c r="J11" s="38">
        <f>F11*4%</f>
        <v>0</v>
      </c>
      <c r="K11" s="38"/>
      <c r="L11" s="19"/>
      <c r="M11" s="98">
        <v>6</v>
      </c>
      <c r="N11" s="99">
        <f t="shared" si="0"/>
        <v>9.6500000000000002E-2</v>
      </c>
      <c r="O11" s="100">
        <f t="shared" si="6"/>
        <v>0</v>
      </c>
      <c r="P11" s="101">
        <f t="shared" si="1"/>
        <v>0</v>
      </c>
      <c r="Q11" s="101">
        <f t="shared" si="7"/>
        <v>0</v>
      </c>
      <c r="R11" s="101">
        <f t="shared" si="2"/>
        <v>0</v>
      </c>
      <c r="S11" s="101">
        <f t="shared" si="8"/>
        <v>0</v>
      </c>
      <c r="T11" s="101"/>
      <c r="U11" s="101">
        <f>IF('Simulador CH BX+'!$D$18="Monto de crédito",$F$11*$F$15,O11*$F$15)</f>
        <v>0</v>
      </c>
      <c r="V11" s="101">
        <f>IF('Simulador CH BX+'!$D$17="Valor Destructible",IF(O11-$F$18&lt;0,0,$F$18),IF(M11&gt;$F$8,0,MAX(O11,$F$10)*$F$17))</f>
        <v>0</v>
      </c>
      <c r="W11" s="101">
        <f t="shared" si="3"/>
        <v>0</v>
      </c>
      <c r="X11" s="101">
        <f t="shared" si="4"/>
        <v>0</v>
      </c>
      <c r="Y11" s="102">
        <f>'Simulador CH BX+'!M44</f>
        <v>0</v>
      </c>
      <c r="Z11" s="10"/>
      <c r="AA11" s="149">
        <f t="shared" si="15"/>
        <v>0</v>
      </c>
      <c r="AB11" s="101">
        <f t="shared" si="5"/>
        <v>0</v>
      </c>
      <c r="AC11" s="101">
        <f t="shared" si="9"/>
        <v>0</v>
      </c>
      <c r="AD11" s="101">
        <f t="shared" si="10"/>
        <v>0</v>
      </c>
      <c r="AE11" s="101">
        <f t="shared" si="11"/>
        <v>0</v>
      </c>
      <c r="AF11" s="101">
        <f>IF('Simulador CH BX+'!$D$18="Monto de crédito",$F$11*$F$15,AA11*$F$15)</f>
        <v>0</v>
      </c>
      <c r="AG11" s="101">
        <f>IF('Simulador CH BX+'!$D$17="Valor Destructible",IF(M11&gt;$F$8,0,$F$20),IF(M11&gt;$F$8,0,MAX(AA11,$F$10)*$F$19))</f>
        <v>0</v>
      </c>
      <c r="AH11" s="101">
        <f t="shared" si="12"/>
        <v>299</v>
      </c>
      <c r="AI11" s="101">
        <f t="shared" si="13"/>
        <v>299</v>
      </c>
      <c r="AJ11" s="361">
        <f t="shared" si="14"/>
        <v>299</v>
      </c>
    </row>
    <row r="12" spans="1:36" s="2" customFormat="1" ht="13.5" customHeight="1" x14ac:dyDescent="0.3">
      <c r="A12" s="10"/>
      <c r="B12" s="10"/>
      <c r="C12" s="176" t="e">
        <f>LOOKUP($F$12,$H$37:$I$39,$J$37:$J$39)</f>
        <v>#N/A</v>
      </c>
      <c r="D12" s="18"/>
      <c r="E12" s="68" t="s">
        <v>60</v>
      </c>
      <c r="F12" s="125">
        <f>IF(OR(F9=0,F11=0),0,F11/F9)</f>
        <v>0</v>
      </c>
      <c r="G12" s="24"/>
      <c r="H12" s="73" t="s">
        <v>25</v>
      </c>
      <c r="I12" s="65">
        <f>F14</f>
        <v>0</v>
      </c>
      <c r="J12" s="42"/>
      <c r="K12" s="42"/>
      <c r="L12" s="22"/>
      <c r="M12" s="98">
        <v>7</v>
      </c>
      <c r="N12" s="99">
        <f t="shared" si="0"/>
        <v>9.6500000000000002E-2</v>
      </c>
      <c r="O12" s="100">
        <f t="shared" si="6"/>
        <v>0</v>
      </c>
      <c r="P12" s="101">
        <f t="shared" si="1"/>
        <v>0</v>
      </c>
      <c r="Q12" s="101">
        <f t="shared" si="7"/>
        <v>0</v>
      </c>
      <c r="R12" s="101">
        <f t="shared" si="2"/>
        <v>0</v>
      </c>
      <c r="S12" s="101">
        <f t="shared" si="8"/>
        <v>0</v>
      </c>
      <c r="T12" s="101"/>
      <c r="U12" s="101">
        <f>IF('Simulador CH BX+'!$D$18="Monto de crédito",$F$11*$F$15,O12*$F$15)</f>
        <v>0</v>
      </c>
      <c r="V12" s="101">
        <f>IF('Simulador CH BX+'!$D$17="Valor Destructible",IF(O12-$F$18&lt;0,0,$F$18),IF(M12&gt;$F$8,0,MAX(O12,$F$10)*$F$17))</f>
        <v>0</v>
      </c>
      <c r="W12" s="101">
        <f t="shared" si="3"/>
        <v>0</v>
      </c>
      <c r="X12" s="101">
        <f t="shared" si="4"/>
        <v>0</v>
      </c>
      <c r="Y12" s="102">
        <f>'Simulador CH BX+'!M45</f>
        <v>0</v>
      </c>
      <c r="Z12" s="10"/>
      <c r="AA12" s="149">
        <f t="shared" si="15"/>
        <v>0</v>
      </c>
      <c r="AB12" s="101">
        <f t="shared" si="5"/>
        <v>0</v>
      </c>
      <c r="AC12" s="101">
        <f t="shared" si="9"/>
        <v>0</v>
      </c>
      <c r="AD12" s="101">
        <f t="shared" si="10"/>
        <v>0</v>
      </c>
      <c r="AE12" s="101">
        <f t="shared" si="11"/>
        <v>0</v>
      </c>
      <c r="AF12" s="101">
        <f>IF('Simulador CH BX+'!$D$18="Monto de crédito",$F$11*$F$15,AA12*$F$15)</f>
        <v>0</v>
      </c>
      <c r="AG12" s="101">
        <f>IF('Simulador CH BX+'!$D$17="Valor Destructible",IF(M12&gt;$F$8,0,$F$20),IF(M12&gt;$F$8,0,MAX(AA12,$F$10)*$F$19))</f>
        <v>0</v>
      </c>
      <c r="AH12" s="101">
        <f t="shared" si="12"/>
        <v>299</v>
      </c>
      <c r="AI12" s="101">
        <f t="shared" si="13"/>
        <v>299</v>
      </c>
      <c r="AJ12" s="361">
        <f t="shared" si="14"/>
        <v>299</v>
      </c>
    </row>
    <row r="13" spans="1:36" s="2" customFormat="1" ht="13.5" customHeight="1" thickBot="1" x14ac:dyDescent="0.35">
      <c r="A13" s="10"/>
      <c r="B13" s="10"/>
      <c r="C13" s="176" t="str">
        <f>IF('Simulador CH BX+'!$M$1="CEHBX+","CLIENTE ESPECIAL","")</f>
        <v/>
      </c>
      <c r="D13" s="18"/>
      <c r="E13" s="68" t="s">
        <v>65</v>
      </c>
      <c r="F13" s="86" t="e">
        <f>(S6+U6+V6+W6)/F11</f>
        <v>#DIV/0!</v>
      </c>
      <c r="G13" s="22"/>
      <c r="H13" s="75" t="s">
        <v>87</v>
      </c>
      <c r="I13" s="66">
        <f>F23</f>
        <v>0</v>
      </c>
      <c r="J13" s="43"/>
      <c r="K13" s="43"/>
      <c r="L13" s="23"/>
      <c r="M13" s="98">
        <v>8</v>
      </c>
      <c r="N13" s="99">
        <f t="shared" si="0"/>
        <v>9.6500000000000002E-2</v>
      </c>
      <c r="O13" s="100">
        <f t="shared" si="6"/>
        <v>0</v>
      </c>
      <c r="P13" s="101">
        <f t="shared" si="1"/>
        <v>0</v>
      </c>
      <c r="Q13" s="101">
        <f t="shared" si="7"/>
        <v>0</v>
      </c>
      <c r="R13" s="101">
        <f t="shared" si="2"/>
        <v>0</v>
      </c>
      <c r="S13" s="101">
        <f t="shared" si="8"/>
        <v>0</v>
      </c>
      <c r="T13" s="101"/>
      <c r="U13" s="101">
        <f>IF('Simulador CH BX+'!$D$18="Monto de crédito",$F$11*$F$15,O13*$F$15)</f>
        <v>0</v>
      </c>
      <c r="V13" s="101">
        <f>IF('Simulador CH BX+'!$D$17="Valor Destructible",IF(O13-$F$18&lt;0,0,$F$18),IF(M13&gt;$F$8,0,MAX(O13,$F$10)*$F$17))</f>
        <v>0</v>
      </c>
      <c r="W13" s="101">
        <f t="shared" si="3"/>
        <v>0</v>
      </c>
      <c r="X13" s="101">
        <f t="shared" si="4"/>
        <v>0</v>
      </c>
      <c r="Y13" s="102">
        <f>'Simulador CH BX+'!M46</f>
        <v>0</v>
      </c>
      <c r="Z13" s="10"/>
      <c r="AA13" s="149">
        <f t="shared" si="15"/>
        <v>0</v>
      </c>
      <c r="AB13" s="101">
        <f t="shared" si="5"/>
        <v>0</v>
      </c>
      <c r="AC13" s="101">
        <f t="shared" si="9"/>
        <v>0</v>
      </c>
      <c r="AD13" s="101">
        <f t="shared" si="10"/>
        <v>0</v>
      </c>
      <c r="AE13" s="101">
        <f t="shared" si="11"/>
        <v>0</v>
      </c>
      <c r="AF13" s="101">
        <f>IF('Simulador CH BX+'!$D$18="Monto de crédito",$F$11*$F$15,AA13*$F$15)</f>
        <v>0</v>
      </c>
      <c r="AG13" s="101">
        <f>IF('Simulador CH BX+'!$D$17="Valor Destructible",IF(M13&gt;$F$8,0,$F$20),IF(M13&gt;$F$8,0,MAX(AA13,$F$10)*$F$19))</f>
        <v>0</v>
      </c>
      <c r="AH13" s="101">
        <f t="shared" si="12"/>
        <v>299</v>
      </c>
      <c r="AI13" s="101">
        <f t="shared" si="13"/>
        <v>299</v>
      </c>
      <c r="AJ13" s="361">
        <f t="shared" si="14"/>
        <v>299</v>
      </c>
    </row>
    <row r="14" spans="1:36" s="2" customFormat="1" ht="13.5" customHeight="1" x14ac:dyDescent="0.3">
      <c r="A14" s="10"/>
      <c r="B14" s="10"/>
      <c r="C14" s="10"/>
      <c r="D14" s="18"/>
      <c r="E14" s="68" t="s">
        <v>25</v>
      </c>
      <c r="F14" s="87">
        <f>IF(F6=0,0,-PMT(F7,F8,F11))</f>
        <v>0</v>
      </c>
      <c r="G14" s="22"/>
      <c r="H14" s="10"/>
      <c r="I14" s="10"/>
      <c r="J14" s="36"/>
      <c r="K14" s="36"/>
      <c r="L14" s="10"/>
      <c r="M14" s="98">
        <v>9</v>
      </c>
      <c r="N14" s="99">
        <f t="shared" si="0"/>
        <v>9.6500000000000002E-2</v>
      </c>
      <c r="O14" s="100">
        <f t="shared" si="6"/>
        <v>0</v>
      </c>
      <c r="P14" s="101">
        <f t="shared" si="1"/>
        <v>0</v>
      </c>
      <c r="Q14" s="101">
        <f t="shared" si="7"/>
        <v>0</v>
      </c>
      <c r="R14" s="101">
        <f t="shared" si="2"/>
        <v>0</v>
      </c>
      <c r="S14" s="101">
        <f t="shared" si="8"/>
        <v>0</v>
      </c>
      <c r="T14" s="101"/>
      <c r="U14" s="101">
        <f>IF('Simulador CH BX+'!$D$18="Monto de crédito",$F$11*$F$15,O14*$F$15)</f>
        <v>0</v>
      </c>
      <c r="V14" s="101">
        <f>IF('Simulador CH BX+'!$D$17="Valor Destructible",IF(O14-$F$18&lt;0,0,$F$18),IF(M14&gt;$F$8,0,MAX(O14,$F$10)*$F$17))</f>
        <v>0</v>
      </c>
      <c r="W14" s="101">
        <f t="shared" si="3"/>
        <v>0</v>
      </c>
      <c r="X14" s="101">
        <f t="shared" si="4"/>
        <v>0</v>
      </c>
      <c r="Y14" s="102">
        <f>'Simulador CH BX+'!M47</f>
        <v>0</v>
      </c>
      <c r="Z14" s="10"/>
      <c r="AA14" s="149">
        <f t="shared" si="15"/>
        <v>0</v>
      </c>
      <c r="AB14" s="101">
        <f t="shared" si="5"/>
        <v>0</v>
      </c>
      <c r="AC14" s="101">
        <f t="shared" si="9"/>
        <v>0</v>
      </c>
      <c r="AD14" s="101">
        <f t="shared" si="10"/>
        <v>0</v>
      </c>
      <c r="AE14" s="101">
        <f t="shared" si="11"/>
        <v>0</v>
      </c>
      <c r="AF14" s="101">
        <f>IF('Simulador CH BX+'!$D$18="Monto de crédito",$F$11*$F$15,AA14*$F$15)</f>
        <v>0</v>
      </c>
      <c r="AG14" s="101">
        <f>IF('Simulador CH BX+'!$D$17="Valor Destructible",IF(M14&gt;$F$8,0,$F$20),IF(M14&gt;$F$8,0,MAX(AA14,$F$10)*$F$19))</f>
        <v>0</v>
      </c>
      <c r="AH14" s="101">
        <f t="shared" si="12"/>
        <v>299</v>
      </c>
      <c r="AI14" s="101">
        <f t="shared" si="13"/>
        <v>299</v>
      </c>
      <c r="AJ14" s="361">
        <f t="shared" si="14"/>
        <v>299</v>
      </c>
    </row>
    <row r="15" spans="1:36" s="2" customFormat="1" ht="13.5" customHeight="1" x14ac:dyDescent="0.3">
      <c r="A15" s="10"/>
      <c r="B15" s="10"/>
      <c r="C15" s="10"/>
      <c r="D15" s="18"/>
      <c r="E15" s="68" t="s">
        <v>66</v>
      </c>
      <c r="F15" s="88">
        <f>C59</f>
        <v>6.4999999999999997E-4</v>
      </c>
      <c r="G15" s="19"/>
      <c r="I15" s="10"/>
      <c r="J15" s="37"/>
      <c r="K15" s="37"/>
      <c r="L15" s="34"/>
      <c r="M15" s="98">
        <v>10</v>
      </c>
      <c r="N15" s="99">
        <f t="shared" si="0"/>
        <v>9.6500000000000002E-2</v>
      </c>
      <c r="O15" s="100">
        <f t="shared" si="6"/>
        <v>0</v>
      </c>
      <c r="P15" s="101">
        <f t="shared" si="1"/>
        <v>0</v>
      </c>
      <c r="Q15" s="101">
        <f t="shared" si="7"/>
        <v>0</v>
      </c>
      <c r="R15" s="101">
        <f t="shared" si="2"/>
        <v>0</v>
      </c>
      <c r="S15" s="101">
        <f t="shared" si="8"/>
        <v>0</v>
      </c>
      <c r="T15" s="101"/>
      <c r="U15" s="101">
        <f>IF('Simulador CH BX+'!$D$18="Monto de crédito",$F$11*$F$15,O15*$F$15)</f>
        <v>0</v>
      </c>
      <c r="V15" s="101">
        <f>IF('Simulador CH BX+'!$D$17="Valor Destructible",IF(O15-$F$18&lt;0,0,$F$18),IF(M15&gt;$F$8,0,MAX(O15,$F$10)*$F$17))</f>
        <v>0</v>
      </c>
      <c r="W15" s="101">
        <f t="shared" si="3"/>
        <v>0</v>
      </c>
      <c r="X15" s="101">
        <f t="shared" si="4"/>
        <v>0</v>
      </c>
      <c r="Y15" s="102">
        <f>'Simulador CH BX+'!M48</f>
        <v>0</v>
      </c>
      <c r="Z15" s="10"/>
      <c r="AA15" s="149">
        <f t="shared" si="15"/>
        <v>0</v>
      </c>
      <c r="AB15" s="101">
        <f t="shared" si="5"/>
        <v>0</v>
      </c>
      <c r="AC15" s="101">
        <f t="shared" si="9"/>
        <v>0</v>
      </c>
      <c r="AD15" s="101">
        <f t="shared" si="10"/>
        <v>0</v>
      </c>
      <c r="AE15" s="101">
        <f t="shared" si="11"/>
        <v>0</v>
      </c>
      <c r="AF15" s="101">
        <f>IF('Simulador CH BX+'!$D$18="Monto de crédito",$F$11*$F$15,AA15*$F$15)</f>
        <v>0</v>
      </c>
      <c r="AG15" s="101">
        <f>IF('Simulador CH BX+'!$D$17="Valor Destructible",IF(M15&gt;$F$8,0,$F$20),IF(M15&gt;$F$8,0,MAX(AA15,$F$10)*$F$19))</f>
        <v>0</v>
      </c>
      <c r="AH15" s="101">
        <f t="shared" si="12"/>
        <v>299</v>
      </c>
      <c r="AI15" s="101">
        <f t="shared" si="13"/>
        <v>299</v>
      </c>
      <c r="AJ15" s="361">
        <f t="shared" si="14"/>
        <v>299</v>
      </c>
    </row>
    <row r="16" spans="1:36" s="2" customFormat="1" ht="13.5" customHeight="1" x14ac:dyDescent="0.3">
      <c r="A16" s="10"/>
      <c r="B16" s="10"/>
      <c r="C16" s="10"/>
      <c r="D16" s="18"/>
      <c r="E16" s="68" t="s">
        <v>67</v>
      </c>
      <c r="F16" s="87">
        <f>F15*F11</f>
        <v>0</v>
      </c>
      <c r="G16" s="25"/>
      <c r="H16" s="10"/>
      <c r="I16" s="10"/>
      <c r="J16" s="38"/>
      <c r="K16" s="38"/>
      <c r="L16" s="22"/>
      <c r="M16" s="98">
        <v>11</v>
      </c>
      <c r="N16" s="99">
        <f t="shared" si="0"/>
        <v>9.6500000000000002E-2</v>
      </c>
      <c r="O16" s="100">
        <f t="shared" si="6"/>
        <v>0</v>
      </c>
      <c r="P16" s="101">
        <f t="shared" si="1"/>
        <v>0</v>
      </c>
      <c r="Q16" s="101">
        <f t="shared" si="7"/>
        <v>0</v>
      </c>
      <c r="R16" s="101">
        <f t="shared" si="2"/>
        <v>0</v>
      </c>
      <c r="S16" s="101">
        <f t="shared" si="8"/>
        <v>0</v>
      </c>
      <c r="T16" s="101"/>
      <c r="U16" s="101">
        <f>IF('Simulador CH BX+'!$D$18="Monto de crédito",$F$11*$F$15,O16*$F$15)</f>
        <v>0</v>
      </c>
      <c r="V16" s="101">
        <f>IF('Simulador CH BX+'!$D$17="Valor Destructible",IF(O16-$F$18&lt;0,0,$F$18),IF(M16&gt;$F$8,0,MAX(O16,$F$10)*$F$17))</f>
        <v>0</v>
      </c>
      <c r="W16" s="101">
        <f t="shared" si="3"/>
        <v>0</v>
      </c>
      <c r="X16" s="101">
        <f t="shared" si="4"/>
        <v>0</v>
      </c>
      <c r="Y16" s="102">
        <f>'Simulador CH BX+'!M49</f>
        <v>0</v>
      </c>
      <c r="Z16" s="10"/>
      <c r="AA16" s="149">
        <f t="shared" si="15"/>
        <v>0</v>
      </c>
      <c r="AB16" s="101">
        <f t="shared" si="5"/>
        <v>0</v>
      </c>
      <c r="AC16" s="101">
        <f t="shared" si="9"/>
        <v>0</v>
      </c>
      <c r="AD16" s="101">
        <f t="shared" si="10"/>
        <v>0</v>
      </c>
      <c r="AE16" s="101">
        <f t="shared" si="11"/>
        <v>0</v>
      </c>
      <c r="AF16" s="101">
        <f>IF('Simulador CH BX+'!$D$18="Monto de crédito",$F$11*$F$15,AA16*$F$15)</f>
        <v>0</v>
      </c>
      <c r="AG16" s="101">
        <f>IF('Simulador CH BX+'!$D$17="Valor Destructible",IF(M16&gt;$F$8,0,$F$20),IF(M16&gt;$F$8,0,MAX(AA16,$F$10)*$F$19))</f>
        <v>0</v>
      </c>
      <c r="AH16" s="101">
        <f t="shared" si="12"/>
        <v>299</v>
      </c>
      <c r="AI16" s="101">
        <f t="shared" si="13"/>
        <v>299</v>
      </c>
      <c r="AJ16" s="361">
        <f t="shared" si="14"/>
        <v>299</v>
      </c>
    </row>
    <row r="17" spans="1:36" s="2" customFormat="1" ht="13.5" customHeight="1" thickBot="1" x14ac:dyDescent="0.35">
      <c r="A17" s="10"/>
      <c r="B17" s="10"/>
      <c r="C17" s="10"/>
      <c r="D17" s="18"/>
      <c r="E17" s="68" t="s">
        <v>83</v>
      </c>
      <c r="F17" s="89">
        <f>VLOOKUP('Simulador CH BX+'!D32,B48:D50,3,FALSE)/1000</f>
        <v>3.4915999999999994E-4</v>
      </c>
      <c r="G17" s="25"/>
      <c r="H17" s="25"/>
      <c r="I17" s="25"/>
      <c r="J17" s="25"/>
      <c r="K17" s="25"/>
      <c r="L17" s="33"/>
      <c r="M17" s="103">
        <v>12</v>
      </c>
      <c r="N17" s="104">
        <f t="shared" si="0"/>
        <v>9.6500000000000002E-2</v>
      </c>
      <c r="O17" s="105">
        <f t="shared" si="6"/>
        <v>0</v>
      </c>
      <c r="P17" s="106">
        <f t="shared" si="1"/>
        <v>0</v>
      </c>
      <c r="Q17" s="106">
        <f t="shared" si="7"/>
        <v>0</v>
      </c>
      <c r="R17" s="106">
        <f t="shared" si="2"/>
        <v>0</v>
      </c>
      <c r="S17" s="106">
        <f t="shared" si="8"/>
        <v>0</v>
      </c>
      <c r="T17" s="106">
        <f>$F$24</f>
        <v>0</v>
      </c>
      <c r="U17" s="106">
        <f>IF('Simulador CH BX+'!$D$18="Monto de crédito",$F$11*$F$15,O17*$F$15)</f>
        <v>0</v>
      </c>
      <c r="V17" s="106">
        <f>IF('Simulador CH BX+'!$D$17="Valor Destructible",IF(O17-$F$18&lt;0,0,$F$18),IF(M17&gt;$F$8,0,MAX(O17,$F$10)*$F$17))</f>
        <v>0</v>
      </c>
      <c r="W17" s="106">
        <f t="shared" si="3"/>
        <v>0</v>
      </c>
      <c r="X17" s="106">
        <f t="shared" si="4"/>
        <v>0</v>
      </c>
      <c r="Y17" s="107">
        <f>'Simulador CH BX+'!M50</f>
        <v>0</v>
      </c>
      <c r="Z17" s="10"/>
      <c r="AA17" s="150">
        <f t="shared" si="15"/>
        <v>0</v>
      </c>
      <c r="AB17" s="106">
        <f t="shared" si="5"/>
        <v>0</v>
      </c>
      <c r="AC17" s="106">
        <f t="shared" si="9"/>
        <v>0</v>
      </c>
      <c r="AD17" s="106">
        <f t="shared" si="10"/>
        <v>0</v>
      </c>
      <c r="AE17" s="106">
        <f t="shared" si="11"/>
        <v>0</v>
      </c>
      <c r="AF17" s="106">
        <f>IF('Simulador CH BX+'!$D$18="Monto de crédito",$F$11*$F$15,AA17*$F$15)</f>
        <v>0</v>
      </c>
      <c r="AG17" s="106">
        <f>IF('Simulador CH BX+'!$D$17="Valor Destructible",IF(M17&gt;$F$8,0,$F$20),IF(M17&gt;$F$8,0,MAX(AA17,$F$10)*$F$19))</f>
        <v>0</v>
      </c>
      <c r="AH17" s="106">
        <f t="shared" si="12"/>
        <v>299</v>
      </c>
      <c r="AI17" s="106">
        <f t="shared" si="13"/>
        <v>299</v>
      </c>
      <c r="AJ17" s="362">
        <f t="shared" si="14"/>
        <v>299</v>
      </c>
    </row>
    <row r="18" spans="1:36" s="2" customFormat="1" ht="13.5" customHeight="1" x14ac:dyDescent="0.3">
      <c r="A18" s="10"/>
      <c r="B18" s="469" t="s">
        <v>38</v>
      </c>
      <c r="C18" s="470"/>
      <c r="D18" s="18"/>
      <c r="E18" s="68" t="s">
        <v>84</v>
      </c>
      <c r="F18" s="87">
        <f>F17*F10</f>
        <v>0</v>
      </c>
      <c r="G18" s="19"/>
      <c r="H18" s="469" t="s">
        <v>80</v>
      </c>
      <c r="I18" s="478"/>
      <c r="J18" s="470"/>
      <c r="K18" s="336"/>
      <c r="L18" s="9"/>
      <c r="M18" s="98">
        <v>13</v>
      </c>
      <c r="N18" s="99">
        <f t="shared" ref="N18:N29" si="16">C$20</f>
        <v>9.6500000000000002E-2</v>
      </c>
      <c r="O18" s="100">
        <f t="shared" si="6"/>
        <v>0</v>
      </c>
      <c r="P18" s="101">
        <f t="shared" si="1"/>
        <v>0</v>
      </c>
      <c r="Q18" s="101">
        <f t="shared" si="7"/>
        <v>0</v>
      </c>
      <c r="R18" s="101">
        <f t="shared" si="2"/>
        <v>0</v>
      </c>
      <c r="S18" s="101">
        <f t="shared" si="8"/>
        <v>0</v>
      </c>
      <c r="T18" s="101"/>
      <c r="U18" s="101">
        <f>IF('Simulador CH BX+'!$D$18="Monto de crédito",$F$11*$F$15,O18*$F$15)</f>
        <v>0</v>
      </c>
      <c r="V18" s="101">
        <f>IF('Simulador CH BX+'!$D$17="Valor Destructible",IF(O18-$F$18&lt;0,0,$F$18),IF(M18&gt;$F$8,0,MAX(O18,$F$10)*$F$17))</f>
        <v>0</v>
      </c>
      <c r="W18" s="101">
        <f t="shared" si="3"/>
        <v>0</v>
      </c>
      <c r="X18" s="101">
        <f t="shared" si="4"/>
        <v>0</v>
      </c>
      <c r="Y18" s="102">
        <f>'Simulador CH BX+'!M51</f>
        <v>0</v>
      </c>
      <c r="Z18" s="10"/>
      <c r="AA18" s="149">
        <f t="shared" si="15"/>
        <v>0</v>
      </c>
      <c r="AB18" s="101">
        <f t="shared" si="5"/>
        <v>0</v>
      </c>
      <c r="AC18" s="101">
        <f t="shared" si="9"/>
        <v>0</v>
      </c>
      <c r="AD18" s="101">
        <f t="shared" si="10"/>
        <v>0</v>
      </c>
      <c r="AE18" s="101">
        <f t="shared" si="11"/>
        <v>0</v>
      </c>
      <c r="AF18" s="101">
        <f>IF('Simulador CH BX+'!$D$18="Monto de crédito",$F$11*$F$15,AA18*$F$15)</f>
        <v>0</v>
      </c>
      <c r="AG18" s="101">
        <f>IF('Simulador CH BX+'!$D$17="Valor Destructible",IF(M18&gt;$F$8,0,$F$20),IF(M18&gt;$F$8,0,MAX(AA18,$F$10)*$F$19))</f>
        <v>0</v>
      </c>
      <c r="AH18" s="101">
        <f t="shared" si="12"/>
        <v>299</v>
      </c>
      <c r="AI18" s="101">
        <f t="shared" si="13"/>
        <v>299</v>
      </c>
      <c r="AJ18" s="361">
        <f t="shared" si="14"/>
        <v>299</v>
      </c>
    </row>
    <row r="19" spans="1:36" s="2" customFormat="1" ht="13.5" customHeight="1" x14ac:dyDescent="0.3">
      <c r="A19" s="10"/>
      <c r="B19" s="76" t="s">
        <v>39</v>
      </c>
      <c r="C19" s="77">
        <f t="shared" ref="C19:C38" si="17">$C$9</f>
        <v>9.6500000000000002E-2</v>
      </c>
      <c r="D19" s="18"/>
      <c r="E19" s="68" t="s">
        <v>69</v>
      </c>
      <c r="F19" s="89">
        <f>F17/1.16</f>
        <v>3.01E-4</v>
      </c>
      <c r="G19" s="19"/>
      <c r="H19" s="472" t="s">
        <v>14</v>
      </c>
      <c r="I19" s="473"/>
      <c r="J19" s="80" t="s">
        <v>63</v>
      </c>
      <c r="K19" s="337"/>
      <c r="L19" s="30"/>
      <c r="M19" s="98">
        <v>14</v>
      </c>
      <c r="N19" s="99">
        <f t="shared" si="16"/>
        <v>9.6500000000000002E-2</v>
      </c>
      <c r="O19" s="100">
        <f t="shared" si="6"/>
        <v>0</v>
      </c>
      <c r="P19" s="101">
        <f t="shared" si="1"/>
        <v>0</v>
      </c>
      <c r="Q19" s="101">
        <f t="shared" si="7"/>
        <v>0</v>
      </c>
      <c r="R19" s="101">
        <f t="shared" si="2"/>
        <v>0</v>
      </c>
      <c r="S19" s="101">
        <f t="shared" si="8"/>
        <v>0</v>
      </c>
      <c r="T19" s="101"/>
      <c r="U19" s="101">
        <f>IF('Simulador CH BX+'!$D$18="Monto de crédito",$F$11*$F$15,O19*$F$15)</f>
        <v>0</v>
      </c>
      <c r="V19" s="101">
        <f>IF('Simulador CH BX+'!$D$17="Valor Destructible",IF(O19-$F$18&lt;0,0,$F$18),IF(M19&gt;$F$8,0,MAX(O19,$F$10)*$F$17))</f>
        <v>0</v>
      </c>
      <c r="W19" s="101">
        <f t="shared" si="3"/>
        <v>0</v>
      </c>
      <c r="X19" s="101">
        <f t="shared" si="4"/>
        <v>0</v>
      </c>
      <c r="Y19" s="102">
        <f>'Simulador CH BX+'!M52</f>
        <v>0</v>
      </c>
      <c r="Z19" s="10"/>
      <c r="AA19" s="149">
        <f t="shared" si="15"/>
        <v>0</v>
      </c>
      <c r="AB19" s="101">
        <f t="shared" si="5"/>
        <v>0</v>
      </c>
      <c r="AC19" s="101">
        <f t="shared" si="9"/>
        <v>0</v>
      </c>
      <c r="AD19" s="101">
        <f t="shared" si="10"/>
        <v>0</v>
      </c>
      <c r="AE19" s="101">
        <f t="shared" si="11"/>
        <v>0</v>
      </c>
      <c r="AF19" s="101">
        <f>IF('Simulador CH BX+'!$D$18="Monto de crédito",$F$11*$F$15,AA19*$F$15)</f>
        <v>0</v>
      </c>
      <c r="AG19" s="101">
        <f>IF('Simulador CH BX+'!$D$17="Valor Destructible",IF(M19&gt;$F$8,0,$F$20),IF(M19&gt;$F$8,0,MAX(AA19,$F$10)*$F$19))</f>
        <v>0</v>
      </c>
      <c r="AH19" s="101">
        <f t="shared" si="12"/>
        <v>299</v>
      </c>
      <c r="AI19" s="101">
        <f t="shared" si="13"/>
        <v>299</v>
      </c>
      <c r="AJ19" s="361">
        <f t="shared" si="14"/>
        <v>299</v>
      </c>
    </row>
    <row r="20" spans="1:36" s="2" customFormat="1" ht="13.5" customHeight="1" x14ac:dyDescent="0.3">
      <c r="A20" s="10"/>
      <c r="B20" s="76" t="s">
        <v>40</v>
      </c>
      <c r="C20" s="77">
        <f t="shared" si="17"/>
        <v>9.6500000000000002E-2</v>
      </c>
      <c r="D20" s="18"/>
      <c r="E20" s="68" t="s">
        <v>68</v>
      </c>
      <c r="F20" s="87">
        <f>F19*F10</f>
        <v>0</v>
      </c>
      <c r="G20" s="19"/>
      <c r="H20" s="60">
        <v>0</v>
      </c>
      <c r="I20" s="59">
        <v>600000</v>
      </c>
      <c r="J20" s="61">
        <v>1300</v>
      </c>
      <c r="K20" s="338"/>
      <c r="L20" s="32"/>
      <c r="M20" s="98">
        <v>15</v>
      </c>
      <c r="N20" s="99">
        <f t="shared" si="16"/>
        <v>9.6500000000000002E-2</v>
      </c>
      <c r="O20" s="100">
        <f t="shared" si="6"/>
        <v>0</v>
      </c>
      <c r="P20" s="101">
        <f t="shared" si="1"/>
        <v>0</v>
      </c>
      <c r="Q20" s="101">
        <f t="shared" si="7"/>
        <v>0</v>
      </c>
      <c r="R20" s="101">
        <f t="shared" si="2"/>
        <v>0</v>
      </c>
      <c r="S20" s="101">
        <f t="shared" si="8"/>
        <v>0</v>
      </c>
      <c r="T20" s="101"/>
      <c r="U20" s="101">
        <f>IF('Simulador CH BX+'!$D$18="Monto de crédito",$F$11*$F$15,O20*$F$15)</f>
        <v>0</v>
      </c>
      <c r="V20" s="101">
        <f>IF('Simulador CH BX+'!$D$17="Valor Destructible",IF(O20-$F$18&lt;0,0,$F$18),IF(M20&gt;$F$8,0,MAX(O20,$F$10)*$F$17))</f>
        <v>0</v>
      </c>
      <c r="W20" s="101">
        <f t="shared" si="3"/>
        <v>0</v>
      </c>
      <c r="X20" s="101">
        <f t="shared" si="4"/>
        <v>0</v>
      </c>
      <c r="Y20" s="102">
        <f>'Simulador CH BX+'!M53</f>
        <v>0</v>
      </c>
      <c r="Z20" s="10"/>
      <c r="AA20" s="149">
        <f t="shared" si="15"/>
        <v>0</v>
      </c>
      <c r="AB20" s="101">
        <f t="shared" si="5"/>
        <v>0</v>
      </c>
      <c r="AC20" s="101">
        <f t="shared" si="9"/>
        <v>0</v>
      </c>
      <c r="AD20" s="101">
        <f t="shared" si="10"/>
        <v>0</v>
      </c>
      <c r="AE20" s="101">
        <f t="shared" si="11"/>
        <v>0</v>
      </c>
      <c r="AF20" s="101">
        <f>IF('Simulador CH BX+'!$D$18="Monto de crédito",$F$11*$F$15,AA20*$F$15)</f>
        <v>0</v>
      </c>
      <c r="AG20" s="101">
        <f>IF('Simulador CH BX+'!$D$17="Valor Destructible",IF(M20&gt;$F$8,0,$F$20),IF(M20&gt;$F$8,0,MAX(AA20,$F$10)*$F$19))</f>
        <v>0</v>
      </c>
      <c r="AH20" s="101">
        <f t="shared" si="12"/>
        <v>299</v>
      </c>
      <c r="AI20" s="101">
        <f t="shared" si="13"/>
        <v>299</v>
      </c>
      <c r="AJ20" s="361">
        <f t="shared" si="14"/>
        <v>299</v>
      </c>
    </row>
    <row r="21" spans="1:36" s="2" customFormat="1" ht="13.5" customHeight="1" x14ac:dyDescent="0.3">
      <c r="A21" s="10"/>
      <c r="B21" s="76" t="s">
        <v>41</v>
      </c>
      <c r="C21" s="77">
        <f t="shared" si="17"/>
        <v>9.6500000000000002E-2</v>
      </c>
      <c r="D21" s="18"/>
      <c r="E21" s="68" t="s">
        <v>86</v>
      </c>
      <c r="F21" s="83">
        <v>299</v>
      </c>
      <c r="G21" s="19"/>
      <c r="H21" s="60">
        <f t="shared" ref="H21:H29" si="18">I20+0.01</f>
        <v>600000.01</v>
      </c>
      <c r="I21" s="58">
        <v>1000000</v>
      </c>
      <c r="J21" s="61">
        <v>2000</v>
      </c>
      <c r="K21" s="338"/>
      <c r="L21" s="32"/>
      <c r="M21" s="98">
        <v>16</v>
      </c>
      <c r="N21" s="99">
        <f t="shared" si="16"/>
        <v>9.6500000000000002E-2</v>
      </c>
      <c r="O21" s="100">
        <f t="shared" si="6"/>
        <v>0</v>
      </c>
      <c r="P21" s="101">
        <f t="shared" si="1"/>
        <v>0</v>
      </c>
      <c r="Q21" s="101">
        <f t="shared" si="7"/>
        <v>0</v>
      </c>
      <c r="R21" s="101">
        <f t="shared" si="2"/>
        <v>0</v>
      </c>
      <c r="S21" s="101">
        <f t="shared" si="8"/>
        <v>0</v>
      </c>
      <c r="T21" s="101"/>
      <c r="U21" s="101">
        <f>IF('Simulador CH BX+'!$D$18="Monto de crédito",$F$11*$F$15,O21*$F$15)</f>
        <v>0</v>
      </c>
      <c r="V21" s="101">
        <f>IF('Simulador CH BX+'!$D$17="Valor Destructible",IF(O21-$F$18&lt;0,0,$F$18),IF(M21&gt;$F$8,0,MAX(O21,$F$10)*$F$17))</f>
        <v>0</v>
      </c>
      <c r="W21" s="101">
        <f t="shared" si="3"/>
        <v>0</v>
      </c>
      <c r="X21" s="101">
        <f t="shared" si="4"/>
        <v>0</v>
      </c>
      <c r="Y21" s="102">
        <f>'Simulador CH BX+'!M54</f>
        <v>0</v>
      </c>
      <c r="Z21" s="10"/>
      <c r="AA21" s="149">
        <f t="shared" si="15"/>
        <v>0</v>
      </c>
      <c r="AB21" s="101">
        <f t="shared" si="5"/>
        <v>0</v>
      </c>
      <c r="AC21" s="101">
        <f t="shared" si="9"/>
        <v>0</v>
      </c>
      <c r="AD21" s="101">
        <f t="shared" si="10"/>
        <v>0</v>
      </c>
      <c r="AE21" s="101">
        <f t="shared" si="11"/>
        <v>0</v>
      </c>
      <c r="AF21" s="101">
        <f>IF('Simulador CH BX+'!$D$18="Monto de crédito",$F$11*$F$15,AA21*$F$15)</f>
        <v>0</v>
      </c>
      <c r="AG21" s="101">
        <f>IF('Simulador CH BX+'!$D$17="Valor Destructible",IF(M21&gt;$F$8,0,$F$20),IF(M21&gt;$F$8,0,MAX(AA21,$F$10)*$F$19))</f>
        <v>0</v>
      </c>
      <c r="AH21" s="101">
        <f t="shared" si="12"/>
        <v>299</v>
      </c>
      <c r="AI21" s="101">
        <f t="shared" si="13"/>
        <v>299</v>
      </c>
      <c r="AJ21" s="361">
        <f t="shared" si="14"/>
        <v>299</v>
      </c>
    </row>
    <row r="22" spans="1:36" s="2" customFormat="1" ht="13.5" customHeight="1" x14ac:dyDescent="0.3">
      <c r="A22" s="10"/>
      <c r="B22" s="76" t="s">
        <v>42</v>
      </c>
      <c r="C22" s="77">
        <f t="shared" si="17"/>
        <v>9.6500000000000002E-2</v>
      </c>
      <c r="D22" s="18"/>
      <c r="E22" s="68" t="s">
        <v>70</v>
      </c>
      <c r="F22" s="83">
        <f>F21*1.16</f>
        <v>346.84</v>
      </c>
      <c r="G22" s="19"/>
      <c r="H22" s="60">
        <f t="shared" si="18"/>
        <v>1000000.01</v>
      </c>
      <c r="I22" s="58">
        <v>1500000</v>
      </c>
      <c r="J22" s="61">
        <v>2700</v>
      </c>
      <c r="K22" s="338"/>
      <c r="L22" s="32"/>
      <c r="M22" s="98">
        <v>17</v>
      </c>
      <c r="N22" s="99">
        <f t="shared" si="16"/>
        <v>9.6500000000000002E-2</v>
      </c>
      <c r="O22" s="100">
        <f t="shared" si="6"/>
        <v>0</v>
      </c>
      <c r="P22" s="101">
        <f t="shared" si="1"/>
        <v>0</v>
      </c>
      <c r="Q22" s="101">
        <f t="shared" si="7"/>
        <v>0</v>
      </c>
      <c r="R22" s="101">
        <f t="shared" si="2"/>
        <v>0</v>
      </c>
      <c r="S22" s="101">
        <f t="shared" si="8"/>
        <v>0</v>
      </c>
      <c r="T22" s="101"/>
      <c r="U22" s="101">
        <f>IF('Simulador CH BX+'!$D$18="Monto de crédito",$F$11*$F$15,O22*$F$15)</f>
        <v>0</v>
      </c>
      <c r="V22" s="101">
        <f>IF('Simulador CH BX+'!$D$17="Valor Destructible",IF(O22-$F$18&lt;0,0,$F$18),IF(M22&gt;$F$8,0,MAX(O22,$F$10)*$F$17))</f>
        <v>0</v>
      </c>
      <c r="W22" s="101">
        <f t="shared" si="3"/>
        <v>0</v>
      </c>
      <c r="X22" s="101">
        <f t="shared" si="4"/>
        <v>0</v>
      </c>
      <c r="Y22" s="102">
        <f>'Simulador CH BX+'!M55</f>
        <v>0</v>
      </c>
      <c r="Z22" s="10"/>
      <c r="AA22" s="149">
        <f t="shared" si="15"/>
        <v>0</v>
      </c>
      <c r="AB22" s="101">
        <f t="shared" si="5"/>
        <v>0</v>
      </c>
      <c r="AC22" s="101">
        <f t="shared" si="9"/>
        <v>0</v>
      </c>
      <c r="AD22" s="101">
        <f t="shared" si="10"/>
        <v>0</v>
      </c>
      <c r="AE22" s="101">
        <f t="shared" si="11"/>
        <v>0</v>
      </c>
      <c r="AF22" s="101">
        <f>IF('Simulador CH BX+'!$D$18="Monto de crédito",$F$11*$F$15,AA22*$F$15)</f>
        <v>0</v>
      </c>
      <c r="AG22" s="101">
        <f>IF('Simulador CH BX+'!$D$17="Valor Destructible",IF(M22&gt;$F$8,0,$F$20),IF(M22&gt;$F$8,0,MAX(AA22,$F$10)*$F$19))</f>
        <v>0</v>
      </c>
      <c r="AH22" s="101">
        <f t="shared" si="12"/>
        <v>299</v>
      </c>
      <c r="AI22" s="101">
        <f t="shared" si="13"/>
        <v>299</v>
      </c>
      <c r="AJ22" s="361">
        <f t="shared" si="14"/>
        <v>299</v>
      </c>
    </row>
    <row r="23" spans="1:36" s="2" customFormat="1" ht="13.5" customHeight="1" x14ac:dyDescent="0.3">
      <c r="A23" s="10"/>
      <c r="B23" s="76" t="s">
        <v>43</v>
      </c>
      <c r="C23" s="77">
        <f t="shared" si="17"/>
        <v>9.6500000000000002E-2</v>
      </c>
      <c r="D23" s="18"/>
      <c r="E23" s="69" t="s">
        <v>85</v>
      </c>
      <c r="F23" s="87">
        <f>X6</f>
        <v>0</v>
      </c>
      <c r="G23" s="19"/>
      <c r="H23" s="60">
        <f t="shared" si="18"/>
        <v>1500000.01</v>
      </c>
      <c r="I23" s="58">
        <v>2000000</v>
      </c>
      <c r="J23" s="61">
        <v>3400</v>
      </c>
      <c r="K23" s="338"/>
      <c r="L23" s="32"/>
      <c r="M23" s="98">
        <v>18</v>
      </c>
      <c r="N23" s="99">
        <f t="shared" si="16"/>
        <v>9.6500000000000002E-2</v>
      </c>
      <c r="O23" s="100">
        <f t="shared" si="6"/>
        <v>0</v>
      </c>
      <c r="P23" s="101">
        <f t="shared" si="1"/>
        <v>0</v>
      </c>
      <c r="Q23" s="101">
        <f t="shared" si="7"/>
        <v>0</v>
      </c>
      <c r="R23" s="101">
        <f t="shared" si="2"/>
        <v>0</v>
      </c>
      <c r="S23" s="101">
        <f t="shared" si="8"/>
        <v>0</v>
      </c>
      <c r="T23" s="101"/>
      <c r="U23" s="101">
        <f>IF('Simulador CH BX+'!$D$18="Monto de crédito",$F$11*$F$15,O23*$F$15)</f>
        <v>0</v>
      </c>
      <c r="V23" s="101">
        <f>IF('Simulador CH BX+'!$D$17="Valor Destructible",IF(O23-$F$18&lt;0,0,$F$18),IF(M23&gt;$F$8,0,MAX(O23,$F$10)*$F$17))</f>
        <v>0</v>
      </c>
      <c r="W23" s="101">
        <f t="shared" si="3"/>
        <v>0</v>
      </c>
      <c r="X23" s="101">
        <f t="shared" si="4"/>
        <v>0</v>
      </c>
      <c r="Y23" s="102">
        <f>'Simulador CH BX+'!M56</f>
        <v>0</v>
      </c>
      <c r="Z23" s="10"/>
      <c r="AA23" s="149">
        <f t="shared" si="15"/>
        <v>0</v>
      </c>
      <c r="AB23" s="101">
        <f t="shared" si="5"/>
        <v>0</v>
      </c>
      <c r="AC23" s="101">
        <f t="shared" si="9"/>
        <v>0</v>
      </c>
      <c r="AD23" s="101">
        <f t="shared" si="10"/>
        <v>0</v>
      </c>
      <c r="AE23" s="101">
        <f t="shared" si="11"/>
        <v>0</v>
      </c>
      <c r="AF23" s="101">
        <f>IF('Simulador CH BX+'!$D$18="Monto de crédito",$F$11*$F$15,AA23*$F$15)</f>
        <v>0</v>
      </c>
      <c r="AG23" s="101">
        <f>IF('Simulador CH BX+'!$D$17="Valor Destructible",IF(M23&gt;$F$8,0,$F$20),IF(M23&gt;$F$8,0,MAX(AA23,$F$10)*$F$19))</f>
        <v>0</v>
      </c>
      <c r="AH23" s="101">
        <f t="shared" si="12"/>
        <v>299</v>
      </c>
      <c r="AI23" s="101">
        <f t="shared" si="13"/>
        <v>299</v>
      </c>
      <c r="AJ23" s="361">
        <f t="shared" si="14"/>
        <v>299</v>
      </c>
    </row>
    <row r="24" spans="1:36" s="2" customFormat="1" ht="13.5" customHeight="1" x14ac:dyDescent="0.3">
      <c r="A24" s="10"/>
      <c r="B24" s="76" t="s">
        <v>44</v>
      </c>
      <c r="C24" s="77">
        <f t="shared" si="17"/>
        <v>9.6500000000000002E-2</v>
      </c>
      <c r="D24" s="18"/>
      <c r="E24" s="68" t="s">
        <v>61</v>
      </c>
      <c r="F24" s="90">
        <v>0</v>
      </c>
      <c r="G24" s="19"/>
      <c r="H24" s="60">
        <f t="shared" si="18"/>
        <v>2000000.01</v>
      </c>
      <c r="I24" s="58">
        <v>3000000</v>
      </c>
      <c r="J24" s="61">
        <v>4600</v>
      </c>
      <c r="K24" s="338"/>
      <c r="L24" s="32"/>
      <c r="M24" s="98">
        <v>19</v>
      </c>
      <c r="N24" s="99">
        <f t="shared" si="16"/>
        <v>9.6500000000000002E-2</v>
      </c>
      <c r="O24" s="100">
        <f t="shared" si="6"/>
        <v>0</v>
      </c>
      <c r="P24" s="101">
        <f t="shared" si="1"/>
        <v>0</v>
      </c>
      <c r="Q24" s="101">
        <f t="shared" si="7"/>
        <v>0</v>
      </c>
      <c r="R24" s="101">
        <f t="shared" si="2"/>
        <v>0</v>
      </c>
      <c r="S24" s="101">
        <f t="shared" si="8"/>
        <v>0</v>
      </c>
      <c r="T24" s="101"/>
      <c r="U24" s="101">
        <f>IF('Simulador CH BX+'!$D$18="Monto de crédito",$F$11*$F$15,O24*$F$15)</f>
        <v>0</v>
      </c>
      <c r="V24" s="101">
        <f>IF('Simulador CH BX+'!$D$17="Valor Destructible",IF(O24-$F$18&lt;0,0,$F$18),IF(M24&gt;$F$8,0,MAX(O24,$F$10)*$F$17))</f>
        <v>0</v>
      </c>
      <c r="W24" s="101">
        <f t="shared" si="3"/>
        <v>0</v>
      </c>
      <c r="X24" s="101">
        <f t="shared" si="4"/>
        <v>0</v>
      </c>
      <c r="Y24" s="102">
        <f>'Simulador CH BX+'!M57</f>
        <v>0</v>
      </c>
      <c r="Z24" s="10"/>
      <c r="AA24" s="149">
        <f t="shared" si="15"/>
        <v>0</v>
      </c>
      <c r="AB24" s="101">
        <f t="shared" si="5"/>
        <v>0</v>
      </c>
      <c r="AC24" s="101">
        <f t="shared" si="9"/>
        <v>0</v>
      </c>
      <c r="AD24" s="101">
        <f t="shared" si="10"/>
        <v>0</v>
      </c>
      <c r="AE24" s="101">
        <f t="shared" si="11"/>
        <v>0</v>
      </c>
      <c r="AF24" s="101">
        <f>IF('Simulador CH BX+'!$D$18="Monto de crédito",$F$11*$F$15,AA24*$F$15)</f>
        <v>0</v>
      </c>
      <c r="AG24" s="101">
        <f>IF('Simulador CH BX+'!$D$17="Valor Destructible",IF(M24&gt;$F$8,0,$F$20),IF(M24&gt;$F$8,0,MAX(AA24,$F$10)*$F$19))</f>
        <v>0</v>
      </c>
      <c r="AH24" s="101">
        <f t="shared" si="12"/>
        <v>299</v>
      </c>
      <c r="AI24" s="101">
        <f t="shared" si="13"/>
        <v>299</v>
      </c>
      <c r="AJ24" s="361">
        <f t="shared" si="14"/>
        <v>299</v>
      </c>
    </row>
    <row r="25" spans="1:36" s="2" customFormat="1" ht="13.5" customHeight="1" x14ac:dyDescent="0.3">
      <c r="A25" s="10"/>
      <c r="B25" s="76" t="s">
        <v>45</v>
      </c>
      <c r="C25" s="77">
        <f t="shared" si="17"/>
        <v>9.6500000000000002E-2</v>
      </c>
      <c r="D25" s="18"/>
      <c r="E25" s="68" t="s">
        <v>59</v>
      </c>
      <c r="F25" s="85">
        <f>IF('Simulador CH BX+'!B9="SUSTITUCION","Edo. Cta. Hipoteca",(F23+'Simulador CH BX+'!D27)*(1/F26))</f>
        <v>0</v>
      </c>
      <c r="G25" s="19"/>
      <c r="H25" s="60">
        <f t="shared" si="18"/>
        <v>3000000.01</v>
      </c>
      <c r="I25" s="58">
        <v>5000000</v>
      </c>
      <c r="J25" s="61">
        <v>6000</v>
      </c>
      <c r="K25" s="338"/>
      <c r="L25" s="32"/>
      <c r="M25" s="98">
        <v>20</v>
      </c>
      <c r="N25" s="99">
        <f t="shared" si="16"/>
        <v>9.6500000000000002E-2</v>
      </c>
      <c r="O25" s="100">
        <f t="shared" si="6"/>
        <v>0</v>
      </c>
      <c r="P25" s="101">
        <f t="shared" si="1"/>
        <v>0</v>
      </c>
      <c r="Q25" s="101">
        <f t="shared" si="7"/>
        <v>0</v>
      </c>
      <c r="R25" s="101">
        <f t="shared" si="2"/>
        <v>0</v>
      </c>
      <c r="S25" s="101">
        <f t="shared" si="8"/>
        <v>0</v>
      </c>
      <c r="T25" s="101"/>
      <c r="U25" s="101">
        <f>IF('Simulador CH BX+'!$D$18="Monto de crédito",$F$11*$F$15,O25*$F$15)</f>
        <v>0</v>
      </c>
      <c r="V25" s="101">
        <f>IF('Simulador CH BX+'!$D$17="Valor Destructible",IF(O25-$F$18&lt;0,0,$F$18),IF(M25&gt;$F$8,0,MAX(O25,$F$10)*$F$17))</f>
        <v>0</v>
      </c>
      <c r="W25" s="101">
        <f t="shared" si="3"/>
        <v>0</v>
      </c>
      <c r="X25" s="101">
        <f t="shared" si="4"/>
        <v>0</v>
      </c>
      <c r="Y25" s="102">
        <f>'Simulador CH BX+'!M58</f>
        <v>0</v>
      </c>
      <c r="Z25" s="10"/>
      <c r="AA25" s="149">
        <f t="shared" si="15"/>
        <v>0</v>
      </c>
      <c r="AB25" s="101">
        <f t="shared" si="5"/>
        <v>0</v>
      </c>
      <c r="AC25" s="101">
        <f t="shared" si="9"/>
        <v>0</v>
      </c>
      <c r="AD25" s="101">
        <f t="shared" si="10"/>
        <v>0</v>
      </c>
      <c r="AE25" s="101">
        <f t="shared" si="11"/>
        <v>0</v>
      </c>
      <c r="AF25" s="101">
        <f>IF('Simulador CH BX+'!$D$18="Monto de crédito",$F$11*$F$15,AA25*$F$15)</f>
        <v>0</v>
      </c>
      <c r="AG25" s="101">
        <f>IF('Simulador CH BX+'!$D$17="Valor Destructible",IF(M25&gt;$F$8,0,$F$20),IF(M25&gt;$F$8,0,MAX(AA25,$F$10)*$F$19))</f>
        <v>0</v>
      </c>
      <c r="AH25" s="101">
        <f t="shared" si="12"/>
        <v>299</v>
      </c>
      <c r="AI25" s="101">
        <f t="shared" si="13"/>
        <v>299</v>
      </c>
      <c r="AJ25" s="361">
        <f t="shared" si="14"/>
        <v>299</v>
      </c>
    </row>
    <row r="26" spans="1:36" s="2" customFormat="1" ht="13.5" customHeight="1" x14ac:dyDescent="0.3">
      <c r="A26" s="10"/>
      <c r="B26" s="76" t="s">
        <v>46</v>
      </c>
      <c r="C26" s="77">
        <f t="shared" si="17"/>
        <v>9.6500000000000002E-2</v>
      </c>
      <c r="D26" s="18"/>
      <c r="E26" s="68" t="s">
        <v>62</v>
      </c>
      <c r="F26" s="283">
        <f>VLOOKUP($C$7,$H$64:$I$81,2,FALSE)</f>
        <v>0.4</v>
      </c>
      <c r="G26" s="19"/>
      <c r="H26" s="60">
        <f t="shared" si="18"/>
        <v>5000000.01</v>
      </c>
      <c r="I26" s="58">
        <v>7000000</v>
      </c>
      <c r="J26" s="61">
        <v>8750</v>
      </c>
      <c r="K26" s="338"/>
      <c r="L26" s="32"/>
      <c r="M26" s="98">
        <v>21</v>
      </c>
      <c r="N26" s="99">
        <f t="shared" si="16"/>
        <v>9.6500000000000002E-2</v>
      </c>
      <c r="O26" s="100">
        <f t="shared" si="6"/>
        <v>0</v>
      </c>
      <c r="P26" s="101">
        <f t="shared" si="1"/>
        <v>0</v>
      </c>
      <c r="Q26" s="101">
        <f t="shared" si="7"/>
        <v>0</v>
      </c>
      <c r="R26" s="101">
        <f t="shared" si="2"/>
        <v>0</v>
      </c>
      <c r="S26" s="101">
        <f t="shared" si="8"/>
        <v>0</v>
      </c>
      <c r="T26" s="101"/>
      <c r="U26" s="101">
        <f>IF('Simulador CH BX+'!$D$18="Monto de crédito",$F$11*$F$15,O26*$F$15)</f>
        <v>0</v>
      </c>
      <c r="V26" s="101">
        <f>IF('Simulador CH BX+'!$D$17="Valor Destructible",IF(O26-$F$18&lt;0,0,$F$18),IF(M26&gt;$F$8,0,MAX(O26,$F$10)*$F$17))</f>
        <v>0</v>
      </c>
      <c r="W26" s="101">
        <f t="shared" si="3"/>
        <v>0</v>
      </c>
      <c r="X26" s="101">
        <f t="shared" si="4"/>
        <v>0</v>
      </c>
      <c r="Y26" s="102">
        <f>'Simulador CH BX+'!M59</f>
        <v>0</v>
      </c>
      <c r="Z26" s="10"/>
      <c r="AA26" s="149">
        <f t="shared" si="15"/>
        <v>0</v>
      </c>
      <c r="AB26" s="101">
        <f t="shared" si="5"/>
        <v>0</v>
      </c>
      <c r="AC26" s="101">
        <f t="shared" si="9"/>
        <v>0</v>
      </c>
      <c r="AD26" s="101">
        <f t="shared" si="10"/>
        <v>0</v>
      </c>
      <c r="AE26" s="101">
        <f t="shared" si="11"/>
        <v>0</v>
      </c>
      <c r="AF26" s="101">
        <f>IF('Simulador CH BX+'!$D$18="Monto de crédito",$F$11*$F$15,AA26*$F$15)</f>
        <v>0</v>
      </c>
      <c r="AG26" s="101">
        <f>IF('Simulador CH BX+'!$D$17="Valor Destructible",IF(M26&gt;$F$8,0,$F$20),IF(M26&gt;$F$8,0,MAX(AA26,$F$10)*$F$19))</f>
        <v>0</v>
      </c>
      <c r="AH26" s="101">
        <f t="shared" si="12"/>
        <v>299</v>
      </c>
      <c r="AI26" s="101">
        <f t="shared" si="13"/>
        <v>299</v>
      </c>
      <c r="AJ26" s="361">
        <f t="shared" si="14"/>
        <v>299</v>
      </c>
    </row>
    <row r="27" spans="1:36" s="2" customFormat="1" ht="13.5" customHeight="1" x14ac:dyDescent="0.3">
      <c r="A27" s="10"/>
      <c r="B27" s="76" t="s">
        <v>47</v>
      </c>
      <c r="C27" s="77">
        <f t="shared" si="17"/>
        <v>9.6500000000000002E-2</v>
      </c>
      <c r="D27" s="18"/>
      <c r="E27" s="68" t="s">
        <v>73</v>
      </c>
      <c r="F27" s="87">
        <f>685*0</f>
        <v>0</v>
      </c>
      <c r="G27" s="19"/>
      <c r="H27" s="60">
        <f t="shared" si="18"/>
        <v>7000000.0099999998</v>
      </c>
      <c r="I27" s="58">
        <v>10000000</v>
      </c>
      <c r="J27" s="61">
        <v>12500</v>
      </c>
      <c r="K27" s="338"/>
      <c r="L27" s="32"/>
      <c r="M27" s="98">
        <v>22</v>
      </c>
      <c r="N27" s="99">
        <f t="shared" si="16"/>
        <v>9.6500000000000002E-2</v>
      </c>
      <c r="O27" s="100">
        <f t="shared" si="6"/>
        <v>0</v>
      </c>
      <c r="P27" s="101">
        <f t="shared" si="1"/>
        <v>0</v>
      </c>
      <c r="Q27" s="101">
        <f t="shared" si="7"/>
        <v>0</v>
      </c>
      <c r="R27" s="101">
        <f t="shared" si="2"/>
        <v>0</v>
      </c>
      <c r="S27" s="101">
        <f t="shared" si="8"/>
        <v>0</v>
      </c>
      <c r="T27" s="101"/>
      <c r="U27" s="101">
        <f>IF('Simulador CH BX+'!$D$18="Monto de crédito",$F$11*$F$15,O27*$F$15)</f>
        <v>0</v>
      </c>
      <c r="V27" s="101">
        <f>IF('Simulador CH BX+'!$D$17="Valor Destructible",IF(O27-$F$18&lt;0,0,$F$18),IF(M27&gt;$F$8,0,MAX(O27,$F$10)*$F$17))</f>
        <v>0</v>
      </c>
      <c r="W27" s="101">
        <f t="shared" si="3"/>
        <v>0</v>
      </c>
      <c r="X27" s="101">
        <f t="shared" si="4"/>
        <v>0</v>
      </c>
      <c r="Y27" s="102">
        <f>'Simulador CH BX+'!M60</f>
        <v>0</v>
      </c>
      <c r="Z27" s="10"/>
      <c r="AA27" s="149">
        <f t="shared" si="15"/>
        <v>0</v>
      </c>
      <c r="AB27" s="101">
        <f t="shared" si="5"/>
        <v>0</v>
      </c>
      <c r="AC27" s="101">
        <f t="shared" si="9"/>
        <v>0</v>
      </c>
      <c r="AD27" s="101">
        <f t="shared" si="10"/>
        <v>0</v>
      </c>
      <c r="AE27" s="101">
        <f t="shared" si="11"/>
        <v>0</v>
      </c>
      <c r="AF27" s="101">
        <f>IF('Simulador CH BX+'!$D$18="Monto de crédito",$F$11*$F$15,AA27*$F$15)</f>
        <v>0</v>
      </c>
      <c r="AG27" s="101">
        <f>IF('Simulador CH BX+'!$D$17="Valor Destructible",IF(M27&gt;$F$8,0,$F$20),IF(M27&gt;$F$8,0,MAX(AA27,$F$10)*$F$19))</f>
        <v>0</v>
      </c>
      <c r="AH27" s="101">
        <f t="shared" si="12"/>
        <v>299</v>
      </c>
      <c r="AI27" s="101">
        <f t="shared" si="13"/>
        <v>299</v>
      </c>
      <c r="AJ27" s="361">
        <f t="shared" si="14"/>
        <v>299</v>
      </c>
    </row>
    <row r="28" spans="1:36" s="2" customFormat="1" ht="13.5" customHeight="1" x14ac:dyDescent="0.3">
      <c r="A28" s="10"/>
      <c r="B28" s="76" t="s">
        <v>48</v>
      </c>
      <c r="C28" s="77">
        <f t="shared" si="17"/>
        <v>9.6500000000000002E-2</v>
      </c>
      <c r="D28" s="18"/>
      <c r="E28" s="68" t="s">
        <v>104</v>
      </c>
      <c r="F28" s="87">
        <f>F27*1.16</f>
        <v>0</v>
      </c>
      <c r="G28" s="19"/>
      <c r="H28" s="60">
        <f t="shared" si="18"/>
        <v>10000000.01</v>
      </c>
      <c r="I28" s="58">
        <v>15000000</v>
      </c>
      <c r="J28" s="61">
        <v>18000</v>
      </c>
      <c r="K28" s="338"/>
      <c r="L28" s="32"/>
      <c r="M28" s="98">
        <v>23</v>
      </c>
      <c r="N28" s="99">
        <f t="shared" si="16"/>
        <v>9.6500000000000002E-2</v>
      </c>
      <c r="O28" s="100">
        <f t="shared" si="6"/>
        <v>0</v>
      </c>
      <c r="P28" s="101">
        <f t="shared" si="1"/>
        <v>0</v>
      </c>
      <c r="Q28" s="101">
        <f t="shared" si="7"/>
        <v>0</v>
      </c>
      <c r="R28" s="101">
        <f t="shared" si="2"/>
        <v>0</v>
      </c>
      <c r="S28" s="101">
        <f t="shared" si="8"/>
        <v>0</v>
      </c>
      <c r="T28" s="101"/>
      <c r="U28" s="101">
        <f>IF('Simulador CH BX+'!$D$18="Monto de crédito",$F$11*$F$15,O28*$F$15)</f>
        <v>0</v>
      </c>
      <c r="V28" s="101">
        <f>IF('Simulador CH BX+'!$D$17="Valor Destructible",IF(O28-$F$18&lt;0,0,$F$18),IF(M28&gt;$F$8,0,MAX(O28,$F$10)*$F$17))</f>
        <v>0</v>
      </c>
      <c r="W28" s="101">
        <f t="shared" si="3"/>
        <v>0</v>
      </c>
      <c r="X28" s="101">
        <f t="shared" si="4"/>
        <v>0</v>
      </c>
      <c r="Y28" s="102">
        <f>'Simulador CH BX+'!M61</f>
        <v>0</v>
      </c>
      <c r="Z28" s="10"/>
      <c r="AA28" s="149">
        <f t="shared" si="15"/>
        <v>0</v>
      </c>
      <c r="AB28" s="101">
        <f t="shared" si="5"/>
        <v>0</v>
      </c>
      <c r="AC28" s="101">
        <f t="shared" si="9"/>
        <v>0</v>
      </c>
      <c r="AD28" s="101">
        <f t="shared" si="10"/>
        <v>0</v>
      </c>
      <c r="AE28" s="101">
        <f t="shared" si="11"/>
        <v>0</v>
      </c>
      <c r="AF28" s="101">
        <f>IF('Simulador CH BX+'!$D$18="Monto de crédito",$F$11*$F$15,AA28*$F$15)</f>
        <v>0</v>
      </c>
      <c r="AG28" s="101">
        <f>IF('Simulador CH BX+'!$D$17="Valor Destructible",IF(M28&gt;$F$8,0,$F$20),IF(M28&gt;$F$8,0,MAX(AA28,$F$10)*$F$19))</f>
        <v>0</v>
      </c>
      <c r="AH28" s="101">
        <f t="shared" si="12"/>
        <v>299</v>
      </c>
      <c r="AI28" s="101">
        <f t="shared" si="13"/>
        <v>299</v>
      </c>
      <c r="AJ28" s="361">
        <f t="shared" si="14"/>
        <v>299</v>
      </c>
    </row>
    <row r="29" spans="1:36" s="2" customFormat="1" ht="13.5" customHeight="1" thickBot="1" x14ac:dyDescent="0.35">
      <c r="A29" s="11"/>
      <c r="B29" s="76" t="s">
        <v>49</v>
      </c>
      <c r="C29" s="77">
        <f t="shared" si="17"/>
        <v>9.6500000000000002E-2</v>
      </c>
      <c r="D29" s="18"/>
      <c r="E29" s="68" t="s">
        <v>13</v>
      </c>
      <c r="F29" s="184">
        <f>IF('Simulador CH BX+'!B9="SUSTITUCION",0,LOOKUP(F9,H20:I29,J20:J29))</f>
        <v>1300</v>
      </c>
      <c r="G29" s="19"/>
      <c r="H29" s="62">
        <f t="shared" si="18"/>
        <v>15000000.01</v>
      </c>
      <c r="I29" s="63">
        <v>20000000</v>
      </c>
      <c r="J29" s="64">
        <v>25000</v>
      </c>
      <c r="K29" s="171"/>
      <c r="L29" s="32"/>
      <c r="M29" s="103">
        <v>24</v>
      </c>
      <c r="N29" s="104">
        <f t="shared" si="16"/>
        <v>9.6500000000000002E-2</v>
      </c>
      <c r="O29" s="105">
        <f t="shared" si="6"/>
        <v>0</v>
      </c>
      <c r="P29" s="106">
        <f t="shared" si="1"/>
        <v>0</v>
      </c>
      <c r="Q29" s="106">
        <f t="shared" si="7"/>
        <v>0</v>
      </c>
      <c r="R29" s="106">
        <f t="shared" si="2"/>
        <v>0</v>
      </c>
      <c r="S29" s="106">
        <f t="shared" si="8"/>
        <v>0</v>
      </c>
      <c r="T29" s="106">
        <f>$F$24</f>
        <v>0</v>
      </c>
      <c r="U29" s="106">
        <f>IF('Simulador CH BX+'!$D$18="Monto de crédito",$F$11*$F$15,O29*$F$15)</f>
        <v>0</v>
      </c>
      <c r="V29" s="106">
        <f>IF('Simulador CH BX+'!$D$17="Valor Destructible",IF(O29-$F$18&lt;0,0,$F$18),IF(M29&gt;$F$8,0,MAX(O29,$F$10)*$F$17))</f>
        <v>0</v>
      </c>
      <c r="W29" s="106">
        <f t="shared" si="3"/>
        <v>0</v>
      </c>
      <c r="X29" s="106">
        <f t="shared" si="4"/>
        <v>0</v>
      </c>
      <c r="Y29" s="107">
        <f>'Simulador CH BX+'!M62</f>
        <v>0</v>
      </c>
      <c r="Z29" s="10"/>
      <c r="AA29" s="150">
        <f t="shared" si="15"/>
        <v>0</v>
      </c>
      <c r="AB29" s="106">
        <f t="shared" si="5"/>
        <v>0</v>
      </c>
      <c r="AC29" s="106">
        <f t="shared" si="9"/>
        <v>0</v>
      </c>
      <c r="AD29" s="106">
        <f t="shared" si="10"/>
        <v>0</v>
      </c>
      <c r="AE29" s="106">
        <f t="shared" si="11"/>
        <v>0</v>
      </c>
      <c r="AF29" s="106">
        <f>IF('Simulador CH BX+'!$D$18="Monto de crédito",$F$11*$F$15,AA29*$F$15)</f>
        <v>0</v>
      </c>
      <c r="AG29" s="106">
        <f>IF('Simulador CH BX+'!$D$17="Valor Destructible",IF(M29&gt;$F$8,0,$F$20),IF(M29&gt;$F$8,0,MAX(AA29,$F$10)*$F$19))</f>
        <v>0</v>
      </c>
      <c r="AH29" s="106">
        <f t="shared" si="12"/>
        <v>299</v>
      </c>
      <c r="AI29" s="106">
        <f t="shared" si="13"/>
        <v>299</v>
      </c>
      <c r="AJ29" s="362">
        <f t="shared" si="14"/>
        <v>299</v>
      </c>
    </row>
    <row r="30" spans="1:36" s="2" customFormat="1" ht="13.5" customHeight="1" x14ac:dyDescent="0.3">
      <c r="A30" s="11"/>
      <c r="B30" s="76" t="s">
        <v>50</v>
      </c>
      <c r="C30" s="77">
        <f t="shared" si="17"/>
        <v>9.6500000000000002E-2</v>
      </c>
      <c r="D30" s="18"/>
      <c r="E30" s="68" t="s">
        <v>105</v>
      </c>
      <c r="F30" s="87">
        <f>F29*1.16</f>
        <v>1508</v>
      </c>
      <c r="G30" s="26"/>
      <c r="H30" s="468"/>
      <c r="I30" s="468"/>
      <c r="J30" s="468"/>
      <c r="K30" s="172"/>
      <c r="L30" s="32"/>
      <c r="M30" s="98">
        <v>25</v>
      </c>
      <c r="N30" s="99">
        <f t="shared" ref="N30:N41" si="19">C$21</f>
        <v>9.6500000000000002E-2</v>
      </c>
      <c r="O30" s="100">
        <f t="shared" si="6"/>
        <v>0</v>
      </c>
      <c r="P30" s="101">
        <f t="shared" si="1"/>
        <v>0</v>
      </c>
      <c r="Q30" s="101">
        <f t="shared" si="7"/>
        <v>0</v>
      </c>
      <c r="R30" s="101">
        <f t="shared" si="2"/>
        <v>0</v>
      </c>
      <c r="S30" s="101">
        <f t="shared" si="8"/>
        <v>0</v>
      </c>
      <c r="T30" s="101"/>
      <c r="U30" s="101">
        <f>IF('Simulador CH BX+'!$D$18="Monto de crédito",$F$11*$F$15,O30*$F$15)</f>
        <v>0</v>
      </c>
      <c r="V30" s="101">
        <f>IF('Simulador CH BX+'!$D$17="Valor Destructible",IF(O30-$F$18&lt;0,0,$F$18),IF(M30&gt;$F$8,0,MAX(O30,$F$10)*$F$17))</f>
        <v>0</v>
      </c>
      <c r="W30" s="101">
        <f t="shared" si="3"/>
        <v>0</v>
      </c>
      <c r="X30" s="101">
        <f t="shared" si="4"/>
        <v>0</v>
      </c>
      <c r="Y30" s="102">
        <f>'Simulador CH BX+'!M63</f>
        <v>0</v>
      </c>
      <c r="Z30" s="10"/>
      <c r="AA30" s="149">
        <f t="shared" si="15"/>
        <v>0</v>
      </c>
      <c r="AB30" s="101">
        <f t="shared" si="5"/>
        <v>0</v>
      </c>
      <c r="AC30" s="101">
        <f t="shared" si="9"/>
        <v>0</v>
      </c>
      <c r="AD30" s="101">
        <f t="shared" si="10"/>
        <v>0</v>
      </c>
      <c r="AE30" s="101">
        <f t="shared" si="11"/>
        <v>0</v>
      </c>
      <c r="AF30" s="101">
        <f>IF('Simulador CH BX+'!$D$18="Monto de crédito",$F$11*$F$15,AA30*$F$15)</f>
        <v>0</v>
      </c>
      <c r="AG30" s="101">
        <f>IF('Simulador CH BX+'!$D$17="Valor Destructible",IF(M30&gt;$F$8,0,$F$20),IF(M30&gt;$F$8,0,MAX(AA30,$F$10)*$F$19))</f>
        <v>0</v>
      </c>
      <c r="AH30" s="101">
        <f t="shared" si="12"/>
        <v>299</v>
      </c>
      <c r="AI30" s="101">
        <f t="shared" si="13"/>
        <v>299</v>
      </c>
      <c r="AJ30" s="361">
        <f t="shared" si="14"/>
        <v>299</v>
      </c>
    </row>
    <row r="31" spans="1:36" s="2" customFormat="1" ht="13.5" customHeight="1" x14ac:dyDescent="0.3">
      <c r="A31" s="10"/>
      <c r="B31" s="76" t="s">
        <v>51</v>
      </c>
      <c r="C31" s="77">
        <f t="shared" si="17"/>
        <v>9.6500000000000002E-2</v>
      </c>
      <c r="D31" s="18"/>
      <c r="E31" s="68" t="s">
        <v>75</v>
      </c>
      <c r="F31" s="91">
        <f>'Simulador CH BX+'!D14</f>
        <v>0</v>
      </c>
      <c r="G31" s="19"/>
      <c r="H31" s="26"/>
      <c r="I31" s="26"/>
      <c r="J31" s="26"/>
      <c r="K31" s="26"/>
      <c r="L31" s="11"/>
      <c r="M31" s="98">
        <v>26</v>
      </c>
      <c r="N31" s="99">
        <f t="shared" si="19"/>
        <v>9.6500000000000002E-2</v>
      </c>
      <c r="O31" s="100">
        <f t="shared" si="6"/>
        <v>0</v>
      </c>
      <c r="P31" s="101">
        <f t="shared" si="1"/>
        <v>0</v>
      </c>
      <c r="Q31" s="101">
        <f t="shared" si="7"/>
        <v>0</v>
      </c>
      <c r="R31" s="101">
        <f t="shared" si="2"/>
        <v>0</v>
      </c>
      <c r="S31" s="101">
        <f t="shared" si="8"/>
        <v>0</v>
      </c>
      <c r="T31" s="101"/>
      <c r="U31" s="101">
        <f>IF('Simulador CH BX+'!$D$18="Monto de crédito",$F$11*$F$15,O31*$F$15)</f>
        <v>0</v>
      </c>
      <c r="V31" s="101">
        <f>IF('Simulador CH BX+'!$D$17="Valor Destructible",IF(O31-$F$18&lt;0,0,$F$18),IF(M31&gt;$F$8,0,MAX(O31,$F$10)*$F$17))</f>
        <v>0</v>
      </c>
      <c r="W31" s="101">
        <f t="shared" si="3"/>
        <v>0</v>
      </c>
      <c r="X31" s="101">
        <f t="shared" si="4"/>
        <v>0</v>
      </c>
      <c r="Y31" s="102">
        <f>'Simulador CH BX+'!M64</f>
        <v>0</v>
      </c>
      <c r="Z31" s="10"/>
      <c r="AA31" s="149">
        <f t="shared" si="15"/>
        <v>0</v>
      </c>
      <c r="AB31" s="101">
        <f t="shared" si="5"/>
        <v>0</v>
      </c>
      <c r="AC31" s="101">
        <f t="shared" si="9"/>
        <v>0</v>
      </c>
      <c r="AD31" s="101">
        <f t="shared" si="10"/>
        <v>0</v>
      </c>
      <c r="AE31" s="101">
        <f t="shared" si="11"/>
        <v>0</v>
      </c>
      <c r="AF31" s="101">
        <f>IF('Simulador CH BX+'!$D$18="Monto de crédito",$F$11*$F$15,AA31*$F$15)</f>
        <v>0</v>
      </c>
      <c r="AG31" s="101">
        <f>IF('Simulador CH BX+'!$D$17="Valor Destructible",IF(M31&gt;$F$8,0,$F$20),IF(M31&gt;$F$8,0,MAX(AA31,$F$10)*$F$19))</f>
        <v>0</v>
      </c>
      <c r="AH31" s="101">
        <f t="shared" si="12"/>
        <v>299</v>
      </c>
      <c r="AI31" s="101">
        <f t="shared" si="13"/>
        <v>299</v>
      </c>
      <c r="AJ31" s="361">
        <f t="shared" si="14"/>
        <v>299</v>
      </c>
    </row>
    <row r="32" spans="1:36" s="2" customFormat="1" ht="13.5" customHeight="1" x14ac:dyDescent="0.3">
      <c r="A32" s="10"/>
      <c r="B32" s="76" t="s">
        <v>52</v>
      </c>
      <c r="C32" s="77">
        <f t="shared" si="17"/>
        <v>9.6500000000000002E-2</v>
      </c>
      <c r="D32" s="18"/>
      <c r="E32" s="68" t="s">
        <v>74</v>
      </c>
      <c r="F32" s="87">
        <f>F11*F31</f>
        <v>0</v>
      </c>
      <c r="G32" s="19"/>
      <c r="H32" s="28"/>
      <c r="I32" s="475"/>
      <c r="J32" s="475"/>
      <c r="K32" s="164"/>
      <c r="L32" s="11"/>
      <c r="M32" s="98">
        <v>27</v>
      </c>
      <c r="N32" s="99">
        <f t="shared" si="19"/>
        <v>9.6500000000000002E-2</v>
      </c>
      <c r="O32" s="100">
        <f t="shared" si="6"/>
        <v>0</v>
      </c>
      <c r="P32" s="101">
        <f t="shared" si="1"/>
        <v>0</v>
      </c>
      <c r="Q32" s="101">
        <f t="shared" si="7"/>
        <v>0</v>
      </c>
      <c r="R32" s="101">
        <f t="shared" si="2"/>
        <v>0</v>
      </c>
      <c r="S32" s="101">
        <f t="shared" si="8"/>
        <v>0</v>
      </c>
      <c r="T32" s="101"/>
      <c r="U32" s="101">
        <f>IF('Simulador CH BX+'!$D$18="Monto de crédito",$F$11*$F$15,O32*$F$15)</f>
        <v>0</v>
      </c>
      <c r="V32" s="101">
        <f>IF('Simulador CH BX+'!$D$17="Valor Destructible",IF(O32-$F$18&lt;0,0,$F$18),IF(M32&gt;$F$8,0,MAX(O32,$F$10)*$F$17))</f>
        <v>0</v>
      </c>
      <c r="W32" s="101">
        <f t="shared" si="3"/>
        <v>0</v>
      </c>
      <c r="X32" s="101">
        <f t="shared" si="4"/>
        <v>0</v>
      </c>
      <c r="Y32" s="102">
        <f>'Simulador CH BX+'!M65</f>
        <v>0</v>
      </c>
      <c r="Z32" s="10"/>
      <c r="AA32" s="149">
        <f t="shared" si="15"/>
        <v>0</v>
      </c>
      <c r="AB32" s="101">
        <f t="shared" si="5"/>
        <v>0</v>
      </c>
      <c r="AC32" s="101">
        <f t="shared" si="9"/>
        <v>0</v>
      </c>
      <c r="AD32" s="101">
        <f t="shared" si="10"/>
        <v>0</v>
      </c>
      <c r="AE32" s="101">
        <f t="shared" si="11"/>
        <v>0</v>
      </c>
      <c r="AF32" s="101">
        <f>IF('Simulador CH BX+'!$D$18="Monto de crédito",$F$11*$F$15,AA32*$F$15)</f>
        <v>0</v>
      </c>
      <c r="AG32" s="101">
        <f>IF('Simulador CH BX+'!$D$17="Valor Destructible",IF(M32&gt;$F$8,0,$F$20),IF(M32&gt;$F$8,0,MAX(AA32,$F$10)*$F$19))</f>
        <v>0</v>
      </c>
      <c r="AH32" s="101">
        <f t="shared" si="12"/>
        <v>299</v>
      </c>
      <c r="AI32" s="101">
        <f t="shared" si="13"/>
        <v>299</v>
      </c>
      <c r="AJ32" s="361">
        <f t="shared" si="14"/>
        <v>299</v>
      </c>
    </row>
    <row r="33" spans="1:36" s="2" customFormat="1" ht="13.5" customHeight="1" thickBot="1" x14ac:dyDescent="0.35">
      <c r="A33" s="10"/>
      <c r="B33" s="78" t="s">
        <v>53</v>
      </c>
      <c r="C33" s="79">
        <f t="shared" si="17"/>
        <v>9.6500000000000002E-2</v>
      </c>
      <c r="D33" s="18"/>
      <c r="E33" s="69" t="s">
        <v>106</v>
      </c>
      <c r="F33" s="87">
        <f>F32+F29+F27</f>
        <v>1300</v>
      </c>
      <c r="G33" s="27"/>
      <c r="H33" s="29"/>
      <c r="I33" s="474"/>
      <c r="J33" s="474"/>
      <c r="K33" s="30"/>
      <c r="L33" s="11"/>
      <c r="M33" s="98">
        <v>28</v>
      </c>
      <c r="N33" s="99">
        <f t="shared" si="19"/>
        <v>9.6500000000000002E-2</v>
      </c>
      <c r="O33" s="100">
        <f t="shared" si="6"/>
        <v>0</v>
      </c>
      <c r="P33" s="101">
        <f t="shared" si="1"/>
        <v>0</v>
      </c>
      <c r="Q33" s="101">
        <f t="shared" si="7"/>
        <v>0</v>
      </c>
      <c r="R33" s="101">
        <f t="shared" si="2"/>
        <v>0</v>
      </c>
      <c r="S33" s="101">
        <f t="shared" si="8"/>
        <v>0</v>
      </c>
      <c r="T33" s="101"/>
      <c r="U33" s="101">
        <f>IF('Simulador CH BX+'!$D$18="Monto de crédito",$F$11*$F$15,O33*$F$15)</f>
        <v>0</v>
      </c>
      <c r="V33" s="101">
        <f>IF('Simulador CH BX+'!$D$17="Valor Destructible",IF(O33-$F$18&lt;0,0,$F$18),IF(M33&gt;$F$8,0,MAX(O33,$F$10)*$F$17))</f>
        <v>0</v>
      </c>
      <c r="W33" s="101">
        <f t="shared" si="3"/>
        <v>0</v>
      </c>
      <c r="X33" s="101">
        <f t="shared" si="4"/>
        <v>0</v>
      </c>
      <c r="Y33" s="102">
        <f>'Simulador CH BX+'!M66</f>
        <v>0</v>
      </c>
      <c r="Z33" s="10"/>
      <c r="AA33" s="149">
        <f t="shared" si="15"/>
        <v>0</v>
      </c>
      <c r="AB33" s="101">
        <f t="shared" si="5"/>
        <v>0</v>
      </c>
      <c r="AC33" s="101">
        <f t="shared" si="9"/>
        <v>0</v>
      </c>
      <c r="AD33" s="101">
        <f t="shared" si="10"/>
        <v>0</v>
      </c>
      <c r="AE33" s="101">
        <f t="shared" si="11"/>
        <v>0</v>
      </c>
      <c r="AF33" s="101">
        <f>IF('Simulador CH BX+'!$D$18="Monto de crédito",$F$11*$F$15,AA33*$F$15)</f>
        <v>0</v>
      </c>
      <c r="AG33" s="101">
        <f>IF('Simulador CH BX+'!$D$17="Valor Destructible",IF(M33&gt;$F$8,0,$F$20),IF(M33&gt;$F$8,0,MAX(AA33,$F$10)*$F$19))</f>
        <v>0</v>
      </c>
      <c r="AH33" s="101">
        <f t="shared" si="12"/>
        <v>299</v>
      </c>
      <c r="AI33" s="101">
        <f t="shared" si="13"/>
        <v>299</v>
      </c>
      <c r="AJ33" s="361">
        <f t="shared" si="14"/>
        <v>299</v>
      </c>
    </row>
    <row r="34" spans="1:36" s="2" customFormat="1" ht="13.5" customHeight="1" thickBot="1" x14ac:dyDescent="0.35">
      <c r="A34" s="10"/>
      <c r="B34" s="78" t="s">
        <v>135</v>
      </c>
      <c r="C34" s="79">
        <f t="shared" si="17"/>
        <v>9.6500000000000002E-2</v>
      </c>
      <c r="D34" s="18"/>
      <c r="E34" s="162" t="s">
        <v>20</v>
      </c>
      <c r="F34" s="92">
        <f>'Simulador CH BX+'!D25</f>
        <v>0</v>
      </c>
      <c r="G34" s="19"/>
      <c r="H34" s="484" t="s">
        <v>123</v>
      </c>
      <c r="I34" s="485"/>
      <c r="J34" s="485"/>
      <c r="K34" s="486"/>
      <c r="L34" s="11"/>
      <c r="M34" s="98">
        <v>29</v>
      </c>
      <c r="N34" s="99">
        <f t="shared" si="19"/>
        <v>9.6500000000000002E-2</v>
      </c>
      <c r="O34" s="100">
        <f t="shared" si="6"/>
        <v>0</v>
      </c>
      <c r="P34" s="101">
        <f t="shared" si="1"/>
        <v>0</v>
      </c>
      <c r="Q34" s="101">
        <f t="shared" si="7"/>
        <v>0</v>
      </c>
      <c r="R34" s="101">
        <f t="shared" si="2"/>
        <v>0</v>
      </c>
      <c r="S34" s="101">
        <f t="shared" si="8"/>
        <v>0</v>
      </c>
      <c r="T34" s="101"/>
      <c r="U34" s="101">
        <f>IF('Simulador CH BX+'!$D$18="Monto de crédito",$F$11*$F$15,O34*$F$15)</f>
        <v>0</v>
      </c>
      <c r="V34" s="101">
        <f>IF('Simulador CH BX+'!$D$17="Valor Destructible",IF(O34-$F$18&lt;0,0,$F$18),IF(M34&gt;$F$8,0,MAX(O34,$F$10)*$F$17))</f>
        <v>0</v>
      </c>
      <c r="W34" s="101">
        <f t="shared" si="3"/>
        <v>0</v>
      </c>
      <c r="X34" s="101">
        <f t="shared" si="4"/>
        <v>0</v>
      </c>
      <c r="Y34" s="102">
        <f>'Simulador CH BX+'!M67</f>
        <v>0</v>
      </c>
      <c r="Z34" s="10"/>
      <c r="AA34" s="149">
        <f t="shared" si="15"/>
        <v>0</v>
      </c>
      <c r="AB34" s="101">
        <f t="shared" si="5"/>
        <v>0</v>
      </c>
      <c r="AC34" s="101">
        <f t="shared" si="9"/>
        <v>0</v>
      </c>
      <c r="AD34" s="101">
        <f t="shared" si="10"/>
        <v>0</v>
      </c>
      <c r="AE34" s="101">
        <f t="shared" si="11"/>
        <v>0</v>
      </c>
      <c r="AF34" s="101">
        <f>IF('Simulador CH BX+'!$D$18="Monto de crédito",$F$11*$F$15,AA34*$F$15)</f>
        <v>0</v>
      </c>
      <c r="AG34" s="101">
        <f>IF('Simulador CH BX+'!$D$17="Valor Destructible",IF(M34&gt;$F$8,0,$F$20),IF(M34&gt;$F$8,0,MAX(AA34,$F$10)*$F$19))</f>
        <v>0</v>
      </c>
      <c r="AH34" s="101">
        <f t="shared" si="12"/>
        <v>299</v>
      </c>
      <c r="AI34" s="101">
        <f t="shared" si="13"/>
        <v>299</v>
      </c>
      <c r="AJ34" s="361">
        <f t="shared" si="14"/>
        <v>299</v>
      </c>
    </row>
    <row r="35" spans="1:36" s="2" customFormat="1" ht="13.5" customHeight="1" thickBot="1" x14ac:dyDescent="0.4">
      <c r="A35" s="10"/>
      <c r="B35" s="78" t="s">
        <v>136</v>
      </c>
      <c r="C35" s="79">
        <f t="shared" si="17"/>
        <v>9.6500000000000002E-2</v>
      </c>
      <c r="D35" s="8"/>
      <c r="E35" s="162" t="s">
        <v>109</v>
      </c>
      <c r="F35" s="92">
        <f>'Simulador CH BX+'!D26</f>
        <v>0</v>
      </c>
      <c r="G35" s="19"/>
      <c r="H35" s="487" t="s">
        <v>111</v>
      </c>
      <c r="I35" s="488"/>
      <c r="J35" s="374" t="s">
        <v>1</v>
      </c>
      <c r="K35" s="375" t="s">
        <v>131</v>
      </c>
      <c r="L35" s="11"/>
      <c r="M35" s="98">
        <v>30</v>
      </c>
      <c r="N35" s="99">
        <f t="shared" si="19"/>
        <v>9.6500000000000002E-2</v>
      </c>
      <c r="O35" s="100">
        <f t="shared" si="6"/>
        <v>0</v>
      </c>
      <c r="P35" s="101">
        <f t="shared" si="1"/>
        <v>0</v>
      </c>
      <c r="Q35" s="101">
        <f t="shared" si="7"/>
        <v>0</v>
      </c>
      <c r="R35" s="101">
        <f t="shared" si="2"/>
        <v>0</v>
      </c>
      <c r="S35" s="101">
        <f t="shared" si="8"/>
        <v>0</v>
      </c>
      <c r="T35" s="101"/>
      <c r="U35" s="101">
        <f>IF('Simulador CH BX+'!$D$18="Monto de crédito",$F$11*$F$15,O35*$F$15)</f>
        <v>0</v>
      </c>
      <c r="V35" s="101">
        <f>IF('Simulador CH BX+'!$D$17="Valor Destructible",IF(O35-$F$18&lt;0,0,$F$18),IF(M35&gt;$F$8,0,MAX(O35,$F$10)*$F$17))</f>
        <v>0</v>
      </c>
      <c r="W35" s="101">
        <f t="shared" si="3"/>
        <v>0</v>
      </c>
      <c r="X35" s="101">
        <f t="shared" si="4"/>
        <v>0</v>
      </c>
      <c r="Y35" s="102">
        <f>'Simulador CH BX+'!M68</f>
        <v>0</v>
      </c>
      <c r="Z35" s="10"/>
      <c r="AA35" s="149">
        <f t="shared" si="15"/>
        <v>0</v>
      </c>
      <c r="AB35" s="101">
        <f t="shared" si="5"/>
        <v>0</v>
      </c>
      <c r="AC35" s="101">
        <f t="shared" si="9"/>
        <v>0</v>
      </c>
      <c r="AD35" s="101">
        <f t="shared" si="10"/>
        <v>0</v>
      </c>
      <c r="AE35" s="101">
        <f t="shared" si="11"/>
        <v>0</v>
      </c>
      <c r="AF35" s="101">
        <f>IF('Simulador CH BX+'!$D$18="Monto de crédito",$F$11*$F$15,AA35*$F$15)</f>
        <v>0</v>
      </c>
      <c r="AG35" s="101">
        <f>IF('Simulador CH BX+'!$D$17="Valor Destructible",IF(M35&gt;$F$8,0,$F$20),IF(M35&gt;$F$8,0,MAX(AA35,$F$10)*$F$19))</f>
        <v>0</v>
      </c>
      <c r="AH35" s="101">
        <f t="shared" si="12"/>
        <v>299</v>
      </c>
      <c r="AI35" s="101">
        <f t="shared" si="13"/>
        <v>299</v>
      </c>
      <c r="AJ35" s="361">
        <f t="shared" si="14"/>
        <v>299</v>
      </c>
    </row>
    <row r="36" spans="1:36" s="2" customFormat="1" ht="13.5" customHeight="1" thickBot="1" x14ac:dyDescent="0.4">
      <c r="A36" s="11"/>
      <c r="B36" s="78" t="s">
        <v>137</v>
      </c>
      <c r="C36" s="79">
        <f t="shared" si="17"/>
        <v>9.6500000000000002E-2</v>
      </c>
      <c r="D36" s="8"/>
      <c r="E36" s="162" t="s">
        <v>82</v>
      </c>
      <c r="F36" s="92">
        <f>'Simulador CH BX+'!H24</f>
        <v>0</v>
      </c>
      <c r="G36" s="10"/>
      <c r="H36" s="401" t="s">
        <v>184</v>
      </c>
      <c r="I36" s="372">
        <v>0.7</v>
      </c>
      <c r="J36" s="402">
        <v>9.6500000000000002E-2</v>
      </c>
      <c r="K36" s="403">
        <v>0.01</v>
      </c>
      <c r="L36" s="11"/>
      <c r="M36" s="98">
        <v>31</v>
      </c>
      <c r="N36" s="99">
        <f t="shared" si="19"/>
        <v>9.6500000000000002E-2</v>
      </c>
      <c r="O36" s="100">
        <f t="shared" si="6"/>
        <v>0</v>
      </c>
      <c r="P36" s="101">
        <f t="shared" si="1"/>
        <v>0</v>
      </c>
      <c r="Q36" s="101">
        <f t="shared" si="7"/>
        <v>0</v>
      </c>
      <c r="R36" s="101">
        <f t="shared" si="2"/>
        <v>0</v>
      </c>
      <c r="S36" s="101">
        <f t="shared" si="8"/>
        <v>0</v>
      </c>
      <c r="T36" s="101"/>
      <c r="U36" s="101">
        <f>IF('Simulador CH BX+'!$D$18="Monto de crédito",$F$11*$F$15,O36*$F$15)</f>
        <v>0</v>
      </c>
      <c r="V36" s="101">
        <f>IF('Simulador CH BX+'!$D$17="Valor Destructible",IF(O36-$F$18&lt;0,0,$F$18),IF(M36&gt;$F$8,0,MAX(O36,$F$10)*$F$17))</f>
        <v>0</v>
      </c>
      <c r="W36" s="101">
        <f t="shared" si="3"/>
        <v>0</v>
      </c>
      <c r="X36" s="101">
        <f t="shared" si="4"/>
        <v>0</v>
      </c>
      <c r="Y36" s="102">
        <f>'Simulador CH BX+'!M69</f>
        <v>0</v>
      </c>
      <c r="Z36" s="10"/>
      <c r="AA36" s="149">
        <f t="shared" si="15"/>
        <v>0</v>
      </c>
      <c r="AB36" s="101">
        <f t="shared" si="5"/>
        <v>0</v>
      </c>
      <c r="AC36" s="101">
        <f t="shared" si="9"/>
        <v>0</v>
      </c>
      <c r="AD36" s="101">
        <f t="shared" si="10"/>
        <v>0</v>
      </c>
      <c r="AE36" s="101">
        <f t="shared" si="11"/>
        <v>0</v>
      </c>
      <c r="AF36" s="101">
        <f>IF('Simulador CH BX+'!$D$18="Monto de crédito",$F$11*$F$15,AA36*$F$15)</f>
        <v>0</v>
      </c>
      <c r="AG36" s="101">
        <f>IF('Simulador CH BX+'!$D$17="Valor Destructible",IF(M36&gt;$F$8,0,$F$20),IF(M36&gt;$F$8,0,MAX(AA36,$F$10)*$F$19))</f>
        <v>0</v>
      </c>
      <c r="AH36" s="101">
        <f t="shared" si="12"/>
        <v>299</v>
      </c>
      <c r="AI36" s="101">
        <f t="shared" si="13"/>
        <v>299</v>
      </c>
      <c r="AJ36" s="361">
        <f t="shared" si="14"/>
        <v>299</v>
      </c>
    </row>
    <row r="37" spans="1:36" s="2" customFormat="1" ht="13.5" customHeight="1" thickBot="1" x14ac:dyDescent="0.4">
      <c r="A37" s="11"/>
      <c r="B37" s="78" t="s">
        <v>138</v>
      </c>
      <c r="C37" s="79">
        <f t="shared" si="17"/>
        <v>9.6500000000000002E-2</v>
      </c>
      <c r="D37" s="8"/>
      <c r="E37" s="68" t="s">
        <v>71</v>
      </c>
      <c r="F37" s="92" t="e">
        <f>'Simulador CH BX+'!D22*'Simulador CH BX+'!G25</f>
        <v>#DIV/0!</v>
      </c>
      <c r="G37" s="10"/>
      <c r="H37" s="304" t="s">
        <v>185</v>
      </c>
      <c r="I37" s="372">
        <v>0.7</v>
      </c>
      <c r="J37" s="299">
        <v>9.35E-2</v>
      </c>
      <c r="K37" s="404">
        <v>0.01</v>
      </c>
      <c r="L37" s="11"/>
      <c r="M37" s="98">
        <v>32</v>
      </c>
      <c r="N37" s="99">
        <f t="shared" si="19"/>
        <v>9.6500000000000002E-2</v>
      </c>
      <c r="O37" s="100">
        <f t="shared" si="6"/>
        <v>0</v>
      </c>
      <c r="P37" s="101">
        <f t="shared" si="1"/>
        <v>0</v>
      </c>
      <c r="Q37" s="101">
        <f t="shared" si="7"/>
        <v>0</v>
      </c>
      <c r="R37" s="101">
        <f t="shared" si="2"/>
        <v>0</v>
      </c>
      <c r="S37" s="101">
        <f t="shared" si="8"/>
        <v>0</v>
      </c>
      <c r="T37" s="101"/>
      <c r="U37" s="101">
        <f>IF('Simulador CH BX+'!$D$18="Monto de crédito",$F$11*$F$15,O37*$F$15)</f>
        <v>0</v>
      </c>
      <c r="V37" s="101">
        <f>IF('Simulador CH BX+'!$D$17="Valor Destructible",IF(O37-$F$18&lt;0,0,$F$18),IF(M37&gt;$F$8,0,MAX(O37,$F$10)*$F$17))</f>
        <v>0</v>
      </c>
      <c r="W37" s="101">
        <f t="shared" si="3"/>
        <v>0</v>
      </c>
      <c r="X37" s="101">
        <f t="shared" si="4"/>
        <v>0</v>
      </c>
      <c r="Y37" s="102">
        <f>'Simulador CH BX+'!M70</f>
        <v>0</v>
      </c>
      <c r="Z37" s="10"/>
      <c r="AA37" s="149">
        <f t="shared" si="15"/>
        <v>0</v>
      </c>
      <c r="AB37" s="101">
        <f t="shared" si="5"/>
        <v>0</v>
      </c>
      <c r="AC37" s="101">
        <f t="shared" si="9"/>
        <v>0</v>
      </c>
      <c r="AD37" s="101">
        <f t="shared" si="10"/>
        <v>0</v>
      </c>
      <c r="AE37" s="101">
        <f t="shared" si="11"/>
        <v>0</v>
      </c>
      <c r="AF37" s="101">
        <f>IF('Simulador CH BX+'!$D$18="Monto de crédito",$F$11*$F$15,AA37*$F$15)</f>
        <v>0</v>
      </c>
      <c r="AG37" s="101">
        <f>IF('Simulador CH BX+'!$D$17="Valor Destructible",IF(M37&gt;$F$8,0,$F$20),IF(M37&gt;$F$8,0,MAX(AA37,$F$10)*$F$19))</f>
        <v>0</v>
      </c>
      <c r="AH37" s="101">
        <f t="shared" si="12"/>
        <v>299</v>
      </c>
      <c r="AI37" s="101">
        <f t="shared" si="13"/>
        <v>299</v>
      </c>
      <c r="AJ37" s="361">
        <f t="shared" si="14"/>
        <v>299</v>
      </c>
    </row>
    <row r="38" spans="1:36" s="2" customFormat="1" ht="13.5" customHeight="1" thickBot="1" x14ac:dyDescent="0.4">
      <c r="A38" s="11"/>
      <c r="B38" s="78" t="s">
        <v>139</v>
      </c>
      <c r="C38" s="79">
        <f t="shared" si="17"/>
        <v>9.6500000000000002E-2</v>
      </c>
      <c r="D38" s="8"/>
      <c r="E38" s="68" t="s">
        <v>72</v>
      </c>
      <c r="F38" s="123" t="e">
        <f>'Simulador CH BX+'!H25/'Simulador CH BX+'!D22</f>
        <v>#DIV/0!</v>
      </c>
      <c r="G38" s="10"/>
      <c r="H38" s="409" t="s">
        <v>186</v>
      </c>
      <c r="I38" s="372">
        <v>0.7</v>
      </c>
      <c r="J38" s="373">
        <v>9.8500000000000004E-2</v>
      </c>
      <c r="K38" s="373">
        <v>0.01</v>
      </c>
      <c r="L38" s="11"/>
      <c r="M38" s="98">
        <v>33</v>
      </c>
      <c r="N38" s="99">
        <f t="shared" si="19"/>
        <v>9.6500000000000002E-2</v>
      </c>
      <c r="O38" s="100">
        <f t="shared" si="6"/>
        <v>0</v>
      </c>
      <c r="P38" s="101">
        <f t="shared" ref="P38:P69" si="20">O38*(N38/12)</f>
        <v>0</v>
      </c>
      <c r="Q38" s="101">
        <f t="shared" ref="Q38:Q69" si="21">IF(R38-P38&lt;0,O38,R38-P38)</f>
        <v>0</v>
      </c>
      <c r="R38" s="101">
        <f t="shared" ref="R38:R69" si="22">IF(O38-F$14&lt;0,0,F$14)</f>
        <v>0</v>
      </c>
      <c r="S38" s="101">
        <f t="shared" si="8"/>
        <v>0</v>
      </c>
      <c r="T38" s="101"/>
      <c r="U38" s="101">
        <f>IF('Simulador CH BX+'!$D$18="Monto de crédito",$F$11*$F$15,O38*$F$15)</f>
        <v>0</v>
      </c>
      <c r="V38" s="101">
        <f>IF('Simulador CH BX+'!$D$17="Valor Destructible",IF(O38-$F$18&lt;0,0,$F$18),IF(M38&gt;$F$8,0,MAX(O38,$F$10)*$F$17))</f>
        <v>0</v>
      </c>
      <c r="W38" s="101">
        <f t="shared" ref="W38:W69" si="23">IF(O38-F$22&lt;0,0,F$22)</f>
        <v>0</v>
      </c>
      <c r="X38" s="101">
        <f t="shared" ref="X38:X69" si="24">P38+Q38+U38+V38+W38</f>
        <v>0</v>
      </c>
      <c r="Y38" s="102">
        <f>'Simulador CH BX+'!M71</f>
        <v>0</v>
      </c>
      <c r="Z38" s="10"/>
      <c r="AA38" s="149">
        <f t="shared" si="15"/>
        <v>0</v>
      </c>
      <c r="AB38" s="101">
        <f t="shared" ref="AB38:AB69" si="25">AA38*(N38/12)</f>
        <v>0</v>
      </c>
      <c r="AC38" s="101">
        <f t="shared" si="9"/>
        <v>0</v>
      </c>
      <c r="AD38" s="101">
        <f t="shared" si="10"/>
        <v>0</v>
      </c>
      <c r="AE38" s="101">
        <f t="shared" si="11"/>
        <v>0</v>
      </c>
      <c r="AF38" s="101">
        <f>IF('Simulador CH BX+'!$D$18="Monto de crédito",$F$11*$F$15,AA38*$F$15)</f>
        <v>0</v>
      </c>
      <c r="AG38" s="101">
        <f>IF('Simulador CH BX+'!$D$17="Valor Destructible",IF(M38&gt;$F$8,0,$F$20),IF(M38&gt;$F$8,0,MAX(AA38,$F$10)*$F$19))</f>
        <v>0</v>
      </c>
      <c r="AH38" s="101">
        <f t="shared" si="12"/>
        <v>299</v>
      </c>
      <c r="AI38" s="101">
        <f t="shared" si="13"/>
        <v>299</v>
      </c>
      <c r="AJ38" s="361">
        <f t="shared" si="14"/>
        <v>299</v>
      </c>
    </row>
    <row r="39" spans="1:36" s="2" customFormat="1" ht="13.5" customHeight="1" x14ac:dyDescent="0.35">
      <c r="A39" s="10"/>
      <c r="B39" s="20"/>
      <c r="C39" s="20"/>
      <c r="D39" s="8"/>
      <c r="E39" s="68" t="s">
        <v>96</v>
      </c>
      <c r="F39" s="92">
        <f>IF('Simulador CH BX+'!B9="SUSTITUCION",0,IF(F$42&lt;0,0,F$42))</f>
        <v>0</v>
      </c>
      <c r="G39" s="10"/>
      <c r="H39" s="304" t="s">
        <v>187</v>
      </c>
      <c r="I39" s="298">
        <v>0.7</v>
      </c>
      <c r="J39" s="299">
        <v>0.10199999999999999</v>
      </c>
      <c r="K39" s="299">
        <v>0.01</v>
      </c>
      <c r="L39" s="11"/>
      <c r="M39" s="98">
        <v>34</v>
      </c>
      <c r="N39" s="99">
        <f t="shared" si="19"/>
        <v>9.6500000000000002E-2</v>
      </c>
      <c r="O39" s="100">
        <f t="shared" ref="O39:O70" si="26">(O38-Q38)-Y38</f>
        <v>0</v>
      </c>
      <c r="P39" s="101">
        <f t="shared" si="20"/>
        <v>0</v>
      </c>
      <c r="Q39" s="101">
        <f t="shared" si="21"/>
        <v>0</v>
      </c>
      <c r="R39" s="101">
        <f t="shared" si="22"/>
        <v>0</v>
      </c>
      <c r="S39" s="101">
        <f t="shared" si="8"/>
        <v>0</v>
      </c>
      <c r="T39" s="101"/>
      <c r="U39" s="101">
        <f>IF('Simulador CH BX+'!$D$18="Monto de crédito",$F$11*$F$15,O39*$F$15)</f>
        <v>0</v>
      </c>
      <c r="V39" s="101">
        <f>IF('Simulador CH BX+'!$D$17="Valor Destructible",IF(O39-$F$18&lt;0,0,$F$18),IF(M39&gt;$F$8,0,MAX(O39,$F$10)*$F$17))</f>
        <v>0</v>
      </c>
      <c r="W39" s="101">
        <f t="shared" si="23"/>
        <v>0</v>
      </c>
      <c r="X39" s="101">
        <f t="shared" si="24"/>
        <v>0</v>
      </c>
      <c r="Y39" s="102">
        <f>'Simulador CH BX+'!M72</f>
        <v>0</v>
      </c>
      <c r="Z39" s="10"/>
      <c r="AA39" s="149">
        <f t="shared" si="15"/>
        <v>0</v>
      </c>
      <c r="AB39" s="101">
        <f t="shared" si="25"/>
        <v>0</v>
      </c>
      <c r="AC39" s="101">
        <f t="shared" si="9"/>
        <v>0</v>
      </c>
      <c r="AD39" s="101">
        <f t="shared" si="10"/>
        <v>0</v>
      </c>
      <c r="AE39" s="101">
        <f t="shared" si="11"/>
        <v>0</v>
      </c>
      <c r="AF39" s="101">
        <f>IF('Simulador CH BX+'!$D$18="Monto de crédito",$F$11*$F$15,AA39*$F$15)</f>
        <v>0</v>
      </c>
      <c r="AG39" s="101">
        <f>IF('Simulador CH BX+'!$D$17="Valor Destructible",IF(M39&gt;$F$8,0,$F$20),IF(M39&gt;$F$8,0,MAX(AA39,$F$10)*$F$19))</f>
        <v>0</v>
      </c>
      <c r="AH39" s="101">
        <f t="shared" si="12"/>
        <v>299</v>
      </c>
      <c r="AI39" s="101">
        <f t="shared" si="13"/>
        <v>299</v>
      </c>
      <c r="AJ39" s="361">
        <f t="shared" si="14"/>
        <v>299</v>
      </c>
    </row>
    <row r="40" spans="1:36" s="2" customFormat="1" ht="13.5" customHeight="1" x14ac:dyDescent="0.35">
      <c r="A40" s="11"/>
      <c r="B40" s="11"/>
      <c r="C40" s="11"/>
      <c r="D40" s="8"/>
      <c r="E40" s="68" t="s">
        <v>12</v>
      </c>
      <c r="F40" s="87" t="e">
        <f>IF('Simulador CH BX+'!B9&lt;&gt;"SUSTITUCION",(F9+F28+F30+F32+F36+F37)-(F11+F34+F35),(F28+F30+F32+F36+F37))</f>
        <v>#DIV/0!</v>
      </c>
      <c r="G40" s="10"/>
      <c r="H40" s="304" t="s">
        <v>188</v>
      </c>
      <c r="I40" s="298">
        <v>0.7</v>
      </c>
      <c r="J40" s="299">
        <v>0.108</v>
      </c>
      <c r="K40" s="299">
        <v>0.01</v>
      </c>
      <c r="L40" s="11"/>
      <c r="M40" s="98">
        <v>35</v>
      </c>
      <c r="N40" s="99">
        <f t="shared" si="19"/>
        <v>9.6500000000000002E-2</v>
      </c>
      <c r="O40" s="100">
        <f t="shared" si="26"/>
        <v>0</v>
      </c>
      <c r="P40" s="101">
        <f t="shared" si="20"/>
        <v>0</v>
      </c>
      <c r="Q40" s="101">
        <f t="shared" si="21"/>
        <v>0</v>
      </c>
      <c r="R40" s="101">
        <f t="shared" si="22"/>
        <v>0</v>
      </c>
      <c r="S40" s="101">
        <f t="shared" si="8"/>
        <v>0</v>
      </c>
      <c r="T40" s="101"/>
      <c r="U40" s="101">
        <f>IF('Simulador CH BX+'!$D$18="Monto de crédito",$F$11*$F$15,O40*$F$15)</f>
        <v>0</v>
      </c>
      <c r="V40" s="101">
        <f>IF('Simulador CH BX+'!$D$17="Valor Destructible",IF(O40-$F$18&lt;0,0,$F$18),IF(M40&gt;$F$8,0,MAX(O40,$F$10)*$F$17))</f>
        <v>0</v>
      </c>
      <c r="W40" s="101">
        <f t="shared" si="23"/>
        <v>0</v>
      </c>
      <c r="X40" s="101">
        <f t="shared" si="24"/>
        <v>0</v>
      </c>
      <c r="Y40" s="102">
        <f>'Simulador CH BX+'!M73</f>
        <v>0</v>
      </c>
      <c r="Z40" s="10"/>
      <c r="AA40" s="149">
        <f t="shared" si="15"/>
        <v>0</v>
      </c>
      <c r="AB40" s="101">
        <f t="shared" si="25"/>
        <v>0</v>
      </c>
      <c r="AC40" s="101">
        <f t="shared" si="9"/>
        <v>0</v>
      </c>
      <c r="AD40" s="101">
        <f t="shared" si="10"/>
        <v>0</v>
      </c>
      <c r="AE40" s="101">
        <f t="shared" si="11"/>
        <v>0</v>
      </c>
      <c r="AF40" s="101">
        <f>IF('Simulador CH BX+'!$D$18="Monto de crédito",$F$11*$F$15,AA40*$F$15)</f>
        <v>0</v>
      </c>
      <c r="AG40" s="101">
        <f>IF('Simulador CH BX+'!$D$17="Valor Destructible",IF(M40&gt;$F$8,0,$F$20),IF(M40&gt;$F$8,0,MAX(AA40,$F$10)*$F$19))</f>
        <v>0</v>
      </c>
      <c r="AH40" s="101">
        <f t="shared" si="12"/>
        <v>299</v>
      </c>
      <c r="AI40" s="101">
        <f t="shared" si="13"/>
        <v>299</v>
      </c>
      <c r="AJ40" s="361">
        <f t="shared" si="14"/>
        <v>299</v>
      </c>
    </row>
    <row r="41" spans="1:36" s="2" customFormat="1" ht="13.5" customHeight="1" thickBot="1" x14ac:dyDescent="0.4">
      <c r="A41" s="11"/>
      <c r="B41" s="11"/>
      <c r="C41" s="11"/>
      <c r="D41" s="8"/>
      <c r="E41" s="70" t="s">
        <v>110</v>
      </c>
      <c r="F41" s="161">
        <f>IF('Simulador CH BX+'!B9&lt;&gt;"COFINAVIT",0,(F11+F34)/F9)</f>
        <v>0</v>
      </c>
      <c r="G41" s="10"/>
      <c r="H41" s="303" t="s">
        <v>189</v>
      </c>
      <c r="I41" s="298">
        <v>0.8</v>
      </c>
      <c r="J41" s="299">
        <v>9.8500000000000004E-2</v>
      </c>
      <c r="K41" s="299">
        <v>0.01</v>
      </c>
      <c r="L41" s="11"/>
      <c r="M41" s="103">
        <v>36</v>
      </c>
      <c r="N41" s="104">
        <f t="shared" si="19"/>
        <v>9.6500000000000002E-2</v>
      </c>
      <c r="O41" s="105">
        <f t="shared" si="26"/>
        <v>0</v>
      </c>
      <c r="P41" s="106">
        <f t="shared" si="20"/>
        <v>0</v>
      </c>
      <c r="Q41" s="106">
        <f t="shared" si="21"/>
        <v>0</v>
      </c>
      <c r="R41" s="106">
        <f t="shared" si="22"/>
        <v>0</v>
      </c>
      <c r="S41" s="106">
        <f t="shared" si="8"/>
        <v>0</v>
      </c>
      <c r="T41" s="106">
        <f>$F$24</f>
        <v>0</v>
      </c>
      <c r="U41" s="106">
        <f>IF('Simulador CH BX+'!$D$18="Monto de crédito",$F$11*$F$15,O41*$F$15)</f>
        <v>0</v>
      </c>
      <c r="V41" s="106">
        <f>IF('Simulador CH BX+'!$D$17="Valor Destructible",IF(O41-$F$18&lt;0,0,$F$18),IF(M41&gt;$F$8,0,MAX(O41,$F$10)*$F$17))</f>
        <v>0</v>
      </c>
      <c r="W41" s="106">
        <f t="shared" si="23"/>
        <v>0</v>
      </c>
      <c r="X41" s="106">
        <f t="shared" si="24"/>
        <v>0</v>
      </c>
      <c r="Y41" s="107">
        <f>'Simulador CH BX+'!M74</f>
        <v>0</v>
      </c>
      <c r="Z41" s="10"/>
      <c r="AA41" s="150">
        <f t="shared" si="15"/>
        <v>0</v>
      </c>
      <c r="AB41" s="106">
        <f t="shared" si="25"/>
        <v>0</v>
      </c>
      <c r="AC41" s="106">
        <f t="shared" si="9"/>
        <v>0</v>
      </c>
      <c r="AD41" s="106">
        <f t="shared" si="10"/>
        <v>0</v>
      </c>
      <c r="AE41" s="106">
        <f t="shared" si="11"/>
        <v>0</v>
      </c>
      <c r="AF41" s="106">
        <f>IF('Simulador CH BX+'!$D$18="Monto de crédito",$F$11*$F$15,AA41*$F$15)</f>
        <v>0</v>
      </c>
      <c r="AG41" s="106">
        <f>IF('Simulador CH BX+'!$D$17="Valor Destructible",IF(M41&gt;$F$8,0,$F$20),IF(M41&gt;$F$8,0,MAX(AA41,$F$10)*$F$19))</f>
        <v>0</v>
      </c>
      <c r="AH41" s="106">
        <f t="shared" si="12"/>
        <v>299</v>
      </c>
      <c r="AI41" s="106">
        <f t="shared" si="13"/>
        <v>299</v>
      </c>
      <c r="AJ41" s="362">
        <f t="shared" si="14"/>
        <v>299</v>
      </c>
    </row>
    <row r="42" spans="1:36" s="2" customFormat="1" ht="13.5" customHeight="1" x14ac:dyDescent="0.35">
      <c r="A42" s="8"/>
      <c r="B42" s="8"/>
      <c r="C42" s="8"/>
      <c r="D42" s="8"/>
      <c r="E42" s="10"/>
      <c r="F42" s="122">
        <f>F9-F11-F34-F35</f>
        <v>0</v>
      </c>
      <c r="G42" s="10"/>
      <c r="H42" s="303" t="s">
        <v>190</v>
      </c>
      <c r="I42" s="298">
        <v>0.8</v>
      </c>
      <c r="J42" s="299">
        <v>9.6500000000000002E-2</v>
      </c>
      <c r="K42" s="299">
        <v>0.01</v>
      </c>
      <c r="L42" s="11"/>
      <c r="M42" s="98">
        <v>37</v>
      </c>
      <c r="N42" s="99">
        <f t="shared" ref="N42:N53" si="27">C$22</f>
        <v>9.6500000000000002E-2</v>
      </c>
      <c r="O42" s="100">
        <f t="shared" si="26"/>
        <v>0</v>
      </c>
      <c r="P42" s="101">
        <f t="shared" si="20"/>
        <v>0</v>
      </c>
      <c r="Q42" s="101">
        <f t="shared" si="21"/>
        <v>0</v>
      </c>
      <c r="R42" s="101">
        <f t="shared" si="22"/>
        <v>0</v>
      </c>
      <c r="S42" s="101">
        <f t="shared" si="8"/>
        <v>0</v>
      </c>
      <c r="T42" s="101"/>
      <c r="U42" s="101">
        <f>IF('Simulador CH BX+'!$D$18="Monto de crédito",$F$11*$F$15,O42*$F$15)</f>
        <v>0</v>
      </c>
      <c r="V42" s="101">
        <f>IF('Simulador CH BX+'!$D$17="Valor Destructible",IF(O42-$F$18&lt;0,0,$F$18),IF(M42&gt;$F$8,0,MAX(O42,$F$10)*$F$17))</f>
        <v>0</v>
      </c>
      <c r="W42" s="101">
        <f t="shared" si="23"/>
        <v>0</v>
      </c>
      <c r="X42" s="101">
        <f t="shared" si="24"/>
        <v>0</v>
      </c>
      <c r="Y42" s="102">
        <f>'Simulador CH BX+'!M75</f>
        <v>0</v>
      </c>
      <c r="Z42" s="10"/>
      <c r="AA42" s="149">
        <f t="shared" si="15"/>
        <v>0</v>
      </c>
      <c r="AB42" s="101">
        <f t="shared" si="25"/>
        <v>0</v>
      </c>
      <c r="AC42" s="101">
        <f t="shared" si="9"/>
        <v>0</v>
      </c>
      <c r="AD42" s="101">
        <f t="shared" si="10"/>
        <v>0</v>
      </c>
      <c r="AE42" s="101">
        <f t="shared" si="11"/>
        <v>0</v>
      </c>
      <c r="AF42" s="101">
        <f>IF('Simulador CH BX+'!$D$18="Monto de crédito",$F$11*$F$15,AA42*$F$15)</f>
        <v>0</v>
      </c>
      <c r="AG42" s="101">
        <f>IF('Simulador CH BX+'!$D$17="Valor Destructible",IF(M42&gt;$F$8,0,$F$20),IF(M42&gt;$F$8,0,MAX(AA42,$F$10)*$F$19))</f>
        <v>0</v>
      </c>
      <c r="AH42" s="101">
        <f t="shared" si="12"/>
        <v>299</v>
      </c>
      <c r="AI42" s="101">
        <f t="shared" si="13"/>
        <v>299</v>
      </c>
      <c r="AJ42" s="361">
        <f t="shared" si="14"/>
        <v>299</v>
      </c>
    </row>
    <row r="43" spans="1:36" s="2" customFormat="1" ht="13.5" customHeight="1" x14ac:dyDescent="0.35">
      <c r="A43" s="8"/>
      <c r="B43" s="8"/>
      <c r="C43" s="8"/>
      <c r="D43" s="8"/>
      <c r="E43" s="10"/>
      <c r="F43" s="340" t="e">
        <f>F40-F37</f>
        <v>#DIV/0!</v>
      </c>
      <c r="G43" s="10"/>
      <c r="H43" s="303" t="s">
        <v>191</v>
      </c>
      <c r="I43" s="298">
        <v>0.8</v>
      </c>
      <c r="J43" s="299">
        <v>0.10199999999999999</v>
      </c>
      <c r="K43" s="299">
        <v>0.01</v>
      </c>
      <c r="L43" s="11"/>
      <c r="M43" s="98">
        <v>38</v>
      </c>
      <c r="N43" s="99">
        <f t="shared" si="27"/>
        <v>9.6500000000000002E-2</v>
      </c>
      <c r="O43" s="100">
        <f t="shared" si="26"/>
        <v>0</v>
      </c>
      <c r="P43" s="101">
        <f t="shared" si="20"/>
        <v>0</v>
      </c>
      <c r="Q43" s="101">
        <f t="shared" si="21"/>
        <v>0</v>
      </c>
      <c r="R43" s="101">
        <f t="shared" si="22"/>
        <v>0</v>
      </c>
      <c r="S43" s="101">
        <f t="shared" si="8"/>
        <v>0</v>
      </c>
      <c r="T43" s="101"/>
      <c r="U43" s="101">
        <f>IF('Simulador CH BX+'!$D$18="Monto de crédito",$F$11*$F$15,O43*$F$15)</f>
        <v>0</v>
      </c>
      <c r="V43" s="101">
        <f>IF('Simulador CH BX+'!$D$17="Valor Destructible",IF(O43-$F$18&lt;0,0,$F$18),IF(M43&gt;$F$8,0,MAX(O43,$F$10)*$F$17))</f>
        <v>0</v>
      </c>
      <c r="W43" s="101">
        <f t="shared" si="23"/>
        <v>0</v>
      </c>
      <c r="X43" s="101">
        <f t="shared" si="24"/>
        <v>0</v>
      </c>
      <c r="Y43" s="102">
        <f>'Simulador CH BX+'!M76</f>
        <v>0</v>
      </c>
      <c r="Z43" s="10"/>
      <c r="AA43" s="149">
        <f t="shared" si="15"/>
        <v>0</v>
      </c>
      <c r="AB43" s="101">
        <f t="shared" si="25"/>
        <v>0</v>
      </c>
      <c r="AC43" s="101">
        <f t="shared" si="9"/>
        <v>0</v>
      </c>
      <c r="AD43" s="101">
        <f t="shared" si="10"/>
        <v>0</v>
      </c>
      <c r="AE43" s="101">
        <f t="shared" si="11"/>
        <v>0</v>
      </c>
      <c r="AF43" s="101">
        <f>IF('Simulador CH BX+'!$D$18="Monto de crédito",$F$11*$F$15,AA43*$F$15)</f>
        <v>0</v>
      </c>
      <c r="AG43" s="101">
        <f>IF('Simulador CH BX+'!$D$17="Valor Destructible",IF(M43&gt;$F$8,0,$F$20),IF(M43&gt;$F$8,0,MAX(AA43,$F$10)*$F$19))</f>
        <v>0</v>
      </c>
      <c r="AH43" s="101">
        <f t="shared" si="12"/>
        <v>299</v>
      </c>
      <c r="AI43" s="101">
        <f t="shared" si="13"/>
        <v>299</v>
      </c>
      <c r="AJ43" s="361">
        <f t="shared" si="14"/>
        <v>299</v>
      </c>
    </row>
    <row r="44" spans="1:36" s="2" customFormat="1" ht="13.5" customHeight="1" x14ac:dyDescent="0.35">
      <c r="A44" s="8"/>
      <c r="B44" s="8"/>
      <c r="C44" s="8"/>
      <c r="D44" s="8"/>
      <c r="G44" s="10"/>
      <c r="H44" s="303" t="s">
        <v>192</v>
      </c>
      <c r="I44" s="298">
        <v>0.8</v>
      </c>
      <c r="J44" s="299">
        <v>0.108</v>
      </c>
      <c r="K44" s="299">
        <v>0.01</v>
      </c>
      <c r="L44" s="11"/>
      <c r="M44" s="98">
        <v>39</v>
      </c>
      <c r="N44" s="99">
        <f t="shared" si="27"/>
        <v>9.6500000000000002E-2</v>
      </c>
      <c r="O44" s="100">
        <f t="shared" si="26"/>
        <v>0</v>
      </c>
      <c r="P44" s="101">
        <f t="shared" si="20"/>
        <v>0</v>
      </c>
      <c r="Q44" s="101">
        <f t="shared" si="21"/>
        <v>0</v>
      </c>
      <c r="R44" s="101">
        <f t="shared" si="22"/>
        <v>0</v>
      </c>
      <c r="S44" s="101">
        <f t="shared" si="8"/>
        <v>0</v>
      </c>
      <c r="T44" s="101"/>
      <c r="U44" s="101">
        <f>IF('Simulador CH BX+'!$D$18="Monto de crédito",$F$11*$F$15,O44*$F$15)</f>
        <v>0</v>
      </c>
      <c r="V44" s="101">
        <f>IF('Simulador CH BX+'!$D$17="Valor Destructible",IF(O44-$F$18&lt;0,0,$F$18),IF(M44&gt;$F$8,0,MAX(O44,$F$10)*$F$17))</f>
        <v>0</v>
      </c>
      <c r="W44" s="101">
        <f t="shared" si="23"/>
        <v>0</v>
      </c>
      <c r="X44" s="101">
        <f t="shared" si="24"/>
        <v>0</v>
      </c>
      <c r="Y44" s="102">
        <f>'Simulador CH BX+'!M77</f>
        <v>0</v>
      </c>
      <c r="Z44" s="10"/>
      <c r="AA44" s="149">
        <f t="shared" si="15"/>
        <v>0</v>
      </c>
      <c r="AB44" s="101">
        <f t="shared" si="25"/>
        <v>0</v>
      </c>
      <c r="AC44" s="101">
        <f t="shared" si="9"/>
        <v>0</v>
      </c>
      <c r="AD44" s="101">
        <f t="shared" si="10"/>
        <v>0</v>
      </c>
      <c r="AE44" s="101">
        <f t="shared" si="11"/>
        <v>0</v>
      </c>
      <c r="AF44" s="101">
        <f>IF('Simulador CH BX+'!$D$18="Monto de crédito",$F$11*$F$15,AA44*$F$15)</f>
        <v>0</v>
      </c>
      <c r="AG44" s="101">
        <f>IF('Simulador CH BX+'!$D$17="Valor Destructible",IF(M44&gt;$F$8,0,$F$20),IF(M44&gt;$F$8,0,MAX(AA44,$F$10)*$F$19))</f>
        <v>0</v>
      </c>
      <c r="AH44" s="101">
        <f t="shared" si="12"/>
        <v>299</v>
      </c>
      <c r="AI44" s="101">
        <f t="shared" si="13"/>
        <v>299</v>
      </c>
      <c r="AJ44" s="361">
        <f t="shared" si="14"/>
        <v>299</v>
      </c>
    </row>
    <row r="45" spans="1:36" s="2" customFormat="1" ht="13.5" customHeight="1" thickBot="1" x14ac:dyDescent="0.4">
      <c r="A45" s="8"/>
      <c r="B45" s="8"/>
      <c r="C45" s="8"/>
      <c r="D45" s="8"/>
      <c r="E45" s="10"/>
      <c r="F45" s="121"/>
      <c r="G45" s="10"/>
      <c r="H45" s="371" t="s">
        <v>193</v>
      </c>
      <c r="I45" s="298">
        <v>0.8</v>
      </c>
      <c r="J45" s="299">
        <v>0.105</v>
      </c>
      <c r="K45" s="299">
        <v>0.01</v>
      </c>
      <c r="L45" s="11"/>
      <c r="M45" s="98">
        <v>40</v>
      </c>
      <c r="N45" s="99">
        <f t="shared" si="27"/>
        <v>9.6500000000000002E-2</v>
      </c>
      <c r="O45" s="100">
        <f t="shared" si="26"/>
        <v>0</v>
      </c>
      <c r="P45" s="101">
        <f t="shared" si="20"/>
        <v>0</v>
      </c>
      <c r="Q45" s="101">
        <f t="shared" si="21"/>
        <v>0</v>
      </c>
      <c r="R45" s="101">
        <f t="shared" si="22"/>
        <v>0</v>
      </c>
      <c r="S45" s="101">
        <f t="shared" si="8"/>
        <v>0</v>
      </c>
      <c r="T45" s="101"/>
      <c r="U45" s="101">
        <f>IF('Simulador CH BX+'!$D$18="Monto de crédito",$F$11*$F$15,O45*$F$15)</f>
        <v>0</v>
      </c>
      <c r="V45" s="101">
        <f>IF('Simulador CH BX+'!$D$17="Valor Destructible",IF(O45-$F$18&lt;0,0,$F$18),IF(M45&gt;$F$8,0,MAX(O45,$F$10)*$F$17))</f>
        <v>0</v>
      </c>
      <c r="W45" s="101">
        <f t="shared" si="23"/>
        <v>0</v>
      </c>
      <c r="X45" s="101">
        <f t="shared" si="24"/>
        <v>0</v>
      </c>
      <c r="Y45" s="102">
        <f>'Simulador CH BX+'!M78</f>
        <v>0</v>
      </c>
      <c r="Z45" s="10"/>
      <c r="AA45" s="149">
        <f t="shared" si="15"/>
        <v>0</v>
      </c>
      <c r="AB45" s="101">
        <f t="shared" si="25"/>
        <v>0</v>
      </c>
      <c r="AC45" s="101">
        <f t="shared" si="9"/>
        <v>0</v>
      </c>
      <c r="AD45" s="101">
        <f t="shared" si="10"/>
        <v>0</v>
      </c>
      <c r="AE45" s="101">
        <f t="shared" si="11"/>
        <v>0</v>
      </c>
      <c r="AF45" s="101">
        <f>IF('Simulador CH BX+'!$D$18="Monto de crédito",$F$11*$F$15,AA45*$F$15)</f>
        <v>0</v>
      </c>
      <c r="AG45" s="101">
        <f>IF('Simulador CH BX+'!$D$17="Valor Destructible",IF(M45&gt;$F$8,0,$F$20),IF(M45&gt;$F$8,0,MAX(AA45,$F$10)*$F$19))</f>
        <v>0</v>
      </c>
      <c r="AH45" s="101">
        <f t="shared" si="12"/>
        <v>299</v>
      </c>
      <c r="AI45" s="101">
        <f t="shared" si="13"/>
        <v>299</v>
      </c>
      <c r="AJ45" s="361">
        <f t="shared" si="14"/>
        <v>299</v>
      </c>
    </row>
    <row r="46" spans="1:36" s="2" customFormat="1" ht="13.5" customHeight="1" thickBot="1" x14ac:dyDescent="0.4">
      <c r="A46" s="8"/>
      <c r="B46" s="479" t="s">
        <v>152</v>
      </c>
      <c r="C46" s="480"/>
      <c r="D46" s="481"/>
      <c r="E46" s="10"/>
      <c r="G46" s="10"/>
      <c r="H46" s="371" t="s">
        <v>194</v>
      </c>
      <c r="I46" s="298">
        <v>0.8</v>
      </c>
      <c r="J46" s="299">
        <v>0.123</v>
      </c>
      <c r="K46" s="404">
        <v>0.01</v>
      </c>
      <c r="L46" s="11"/>
      <c r="M46" s="98">
        <v>41</v>
      </c>
      <c r="N46" s="99">
        <f t="shared" si="27"/>
        <v>9.6500000000000002E-2</v>
      </c>
      <c r="O46" s="100">
        <f t="shared" si="26"/>
        <v>0</v>
      </c>
      <c r="P46" s="101">
        <f t="shared" si="20"/>
        <v>0</v>
      </c>
      <c r="Q46" s="101">
        <f t="shared" si="21"/>
        <v>0</v>
      </c>
      <c r="R46" s="101">
        <f t="shared" si="22"/>
        <v>0</v>
      </c>
      <c r="S46" s="101">
        <f t="shared" si="8"/>
        <v>0</v>
      </c>
      <c r="T46" s="101"/>
      <c r="U46" s="101">
        <f>IF('Simulador CH BX+'!$D$18="Monto de crédito",$F$11*$F$15,O46*$F$15)</f>
        <v>0</v>
      </c>
      <c r="V46" s="101">
        <f>IF('Simulador CH BX+'!$D$17="Valor Destructible",IF(O46-$F$18&lt;0,0,$F$18),IF(M46&gt;$F$8,0,MAX(O46,$F$10)*$F$17))</f>
        <v>0</v>
      </c>
      <c r="W46" s="101">
        <f t="shared" si="23"/>
        <v>0</v>
      </c>
      <c r="X46" s="101">
        <f t="shared" si="24"/>
        <v>0</v>
      </c>
      <c r="Y46" s="102">
        <f>'Simulador CH BX+'!M79</f>
        <v>0</v>
      </c>
      <c r="Z46" s="10"/>
      <c r="AA46" s="149">
        <f t="shared" si="15"/>
        <v>0</v>
      </c>
      <c r="AB46" s="101">
        <f t="shared" si="25"/>
        <v>0</v>
      </c>
      <c r="AC46" s="101">
        <f t="shared" si="9"/>
        <v>0</v>
      </c>
      <c r="AD46" s="101">
        <f t="shared" si="10"/>
        <v>0</v>
      </c>
      <c r="AE46" s="101">
        <f t="shared" si="11"/>
        <v>0</v>
      </c>
      <c r="AF46" s="101">
        <f>IF('Simulador CH BX+'!$D$18="Monto de crédito",$F$11*$F$15,AA46*$F$15)</f>
        <v>0</v>
      </c>
      <c r="AG46" s="101">
        <f>IF('Simulador CH BX+'!$D$17="Valor Destructible",IF(M46&gt;$F$8,0,$F$20),IF(M46&gt;$F$8,0,MAX(AA46,$F$10)*$F$19))</f>
        <v>0</v>
      </c>
      <c r="AH46" s="101">
        <f t="shared" si="12"/>
        <v>299</v>
      </c>
      <c r="AI46" s="101">
        <f t="shared" si="13"/>
        <v>299</v>
      </c>
      <c r="AJ46" s="361">
        <f t="shared" si="14"/>
        <v>299</v>
      </c>
    </row>
    <row r="47" spans="1:36" s="2" customFormat="1" ht="13.5" customHeight="1" thickBot="1" x14ac:dyDescent="0.4">
      <c r="A47" s="8"/>
      <c r="B47" s="355" t="s">
        <v>160</v>
      </c>
      <c r="C47" s="356" t="s">
        <v>161</v>
      </c>
      <c r="D47" s="357" t="s">
        <v>162</v>
      </c>
      <c r="E47" s="57"/>
      <c r="F47" s="10"/>
      <c r="G47" s="10"/>
      <c r="H47" s="410" t="s">
        <v>195</v>
      </c>
      <c r="I47" s="372">
        <v>0.85</v>
      </c>
      <c r="J47" s="373">
        <v>0.10299999999999999</v>
      </c>
      <c r="K47" s="373">
        <v>0.01</v>
      </c>
      <c r="L47" s="11"/>
      <c r="M47" s="98">
        <v>42</v>
      </c>
      <c r="N47" s="99">
        <f t="shared" si="27"/>
        <v>9.6500000000000002E-2</v>
      </c>
      <c r="O47" s="100">
        <f t="shared" si="26"/>
        <v>0</v>
      </c>
      <c r="P47" s="101">
        <f t="shared" si="20"/>
        <v>0</v>
      </c>
      <c r="Q47" s="101">
        <f t="shared" si="21"/>
        <v>0</v>
      </c>
      <c r="R47" s="101">
        <f t="shared" si="22"/>
        <v>0</v>
      </c>
      <c r="S47" s="101">
        <f t="shared" si="8"/>
        <v>0</v>
      </c>
      <c r="T47" s="101"/>
      <c r="U47" s="101">
        <f>IF('Simulador CH BX+'!$D$18="Monto de crédito",$F$11*$F$15,O47*$F$15)</f>
        <v>0</v>
      </c>
      <c r="V47" s="101">
        <f>IF('Simulador CH BX+'!$D$17="Valor Destructible",IF(O47-$F$18&lt;0,0,$F$18),IF(M47&gt;$F$8,0,MAX(O47,$F$10)*$F$17))</f>
        <v>0</v>
      </c>
      <c r="W47" s="101">
        <f t="shared" si="23"/>
        <v>0</v>
      </c>
      <c r="X47" s="101">
        <f t="shared" si="24"/>
        <v>0</v>
      </c>
      <c r="Y47" s="102">
        <f>'Simulador CH BX+'!M80</f>
        <v>0</v>
      </c>
      <c r="Z47" s="10"/>
      <c r="AA47" s="149">
        <f t="shared" si="15"/>
        <v>0</v>
      </c>
      <c r="AB47" s="101">
        <f t="shared" si="25"/>
        <v>0</v>
      </c>
      <c r="AC47" s="101">
        <f t="shared" si="9"/>
        <v>0</v>
      </c>
      <c r="AD47" s="101">
        <f t="shared" si="10"/>
        <v>0</v>
      </c>
      <c r="AE47" s="101">
        <f t="shared" si="11"/>
        <v>0</v>
      </c>
      <c r="AF47" s="101">
        <f>IF('Simulador CH BX+'!$D$18="Monto de crédito",$F$11*$F$15,AA47*$F$15)</f>
        <v>0</v>
      </c>
      <c r="AG47" s="101">
        <f>IF('Simulador CH BX+'!$D$17="Valor Destructible",IF(M47&gt;$F$8,0,$F$20),IF(M47&gt;$F$8,0,MAX(AA47,$F$10)*$F$19))</f>
        <v>0</v>
      </c>
      <c r="AH47" s="101">
        <f t="shared" si="12"/>
        <v>299</v>
      </c>
      <c r="AI47" s="101">
        <f t="shared" si="13"/>
        <v>299</v>
      </c>
      <c r="AJ47" s="361">
        <f t="shared" si="14"/>
        <v>299</v>
      </c>
    </row>
    <row r="48" spans="1:36" s="2" customFormat="1" ht="13.5" customHeight="1" thickTop="1" x14ac:dyDescent="0.35">
      <c r="A48" s="8"/>
      <c r="B48" s="352" t="s">
        <v>169</v>
      </c>
      <c r="C48" s="353">
        <v>0.30099999999999999</v>
      </c>
      <c r="D48" s="354">
        <f>C48*1.16</f>
        <v>0.34915999999999997</v>
      </c>
      <c r="E48" s="57"/>
      <c r="F48" s="10"/>
      <c r="G48" s="10"/>
      <c r="H48" s="410" t="s">
        <v>196</v>
      </c>
      <c r="I48" s="372">
        <v>0.85</v>
      </c>
      <c r="J48" s="373">
        <v>0.108</v>
      </c>
      <c r="K48" s="373">
        <v>0.01</v>
      </c>
      <c r="L48" s="11"/>
      <c r="M48" s="98">
        <v>43</v>
      </c>
      <c r="N48" s="99">
        <f t="shared" si="27"/>
        <v>9.6500000000000002E-2</v>
      </c>
      <c r="O48" s="100">
        <f t="shared" si="26"/>
        <v>0</v>
      </c>
      <c r="P48" s="101">
        <f t="shared" si="20"/>
        <v>0</v>
      </c>
      <c r="Q48" s="101">
        <f t="shared" si="21"/>
        <v>0</v>
      </c>
      <c r="R48" s="101">
        <f t="shared" si="22"/>
        <v>0</v>
      </c>
      <c r="S48" s="101">
        <f t="shared" si="8"/>
        <v>0</v>
      </c>
      <c r="T48" s="101"/>
      <c r="U48" s="101">
        <f>IF('Simulador CH BX+'!$D$18="Monto de crédito",$F$11*$F$15,O48*$F$15)</f>
        <v>0</v>
      </c>
      <c r="V48" s="101">
        <f>IF('Simulador CH BX+'!$D$17="Valor Destructible",IF(O48-$F$18&lt;0,0,$F$18),IF(M48&gt;$F$8,0,MAX(O48,$F$10)*$F$17))</f>
        <v>0</v>
      </c>
      <c r="W48" s="101">
        <f t="shared" si="23"/>
        <v>0</v>
      </c>
      <c r="X48" s="101">
        <f t="shared" si="24"/>
        <v>0</v>
      </c>
      <c r="Y48" s="102">
        <f>'Simulador CH BX+'!M81</f>
        <v>0</v>
      </c>
      <c r="Z48" s="10"/>
      <c r="AA48" s="149">
        <f t="shared" si="15"/>
        <v>0</v>
      </c>
      <c r="AB48" s="101">
        <f t="shared" si="25"/>
        <v>0</v>
      </c>
      <c r="AC48" s="101">
        <f t="shared" si="9"/>
        <v>0</v>
      </c>
      <c r="AD48" s="101">
        <f t="shared" si="10"/>
        <v>0</v>
      </c>
      <c r="AE48" s="101">
        <f t="shared" si="11"/>
        <v>0</v>
      </c>
      <c r="AF48" s="101">
        <f>IF('Simulador CH BX+'!$D$18="Monto de crédito",$F$11*$F$15,AA48*$F$15)</f>
        <v>0</v>
      </c>
      <c r="AG48" s="101">
        <f>IF('Simulador CH BX+'!$D$17="Valor Destructible",IF(M48&gt;$F$8,0,$F$20),IF(M48&gt;$F$8,0,MAX(AA48,$F$10)*$F$19))</f>
        <v>0</v>
      </c>
      <c r="AH48" s="101">
        <f t="shared" si="12"/>
        <v>299</v>
      </c>
      <c r="AI48" s="101">
        <f t="shared" si="13"/>
        <v>299</v>
      </c>
      <c r="AJ48" s="361">
        <f t="shared" si="14"/>
        <v>299</v>
      </c>
    </row>
    <row r="49" spans="1:36" s="2" customFormat="1" ht="13.5" customHeight="1" x14ac:dyDescent="0.35">
      <c r="A49" s="8"/>
      <c r="B49" s="342" t="s">
        <v>167</v>
      </c>
      <c r="C49" s="343">
        <v>0.52</v>
      </c>
      <c r="D49" s="344">
        <f>C49*1.16</f>
        <v>0.60319999999999996</v>
      </c>
      <c r="E49" s="57"/>
      <c r="F49" s="10"/>
      <c r="G49" s="10"/>
      <c r="H49" s="411" t="s">
        <v>197</v>
      </c>
      <c r="I49" s="298">
        <v>0.85</v>
      </c>
      <c r="J49" s="299">
        <v>0.105</v>
      </c>
      <c r="K49" s="404">
        <v>0.01</v>
      </c>
      <c r="L49" s="11"/>
      <c r="M49" s="98">
        <v>44</v>
      </c>
      <c r="N49" s="99">
        <f t="shared" si="27"/>
        <v>9.6500000000000002E-2</v>
      </c>
      <c r="O49" s="100">
        <f t="shared" si="26"/>
        <v>0</v>
      </c>
      <c r="P49" s="101">
        <f t="shared" si="20"/>
        <v>0</v>
      </c>
      <c r="Q49" s="101">
        <f t="shared" si="21"/>
        <v>0</v>
      </c>
      <c r="R49" s="101">
        <f t="shared" si="22"/>
        <v>0</v>
      </c>
      <c r="S49" s="101">
        <f t="shared" si="8"/>
        <v>0</v>
      </c>
      <c r="T49" s="101"/>
      <c r="U49" s="101">
        <f>IF('Simulador CH BX+'!$D$18="Monto de crédito",$F$11*$F$15,O49*$F$15)</f>
        <v>0</v>
      </c>
      <c r="V49" s="101">
        <f>IF('Simulador CH BX+'!$D$17="Valor Destructible",IF(O49-$F$18&lt;0,0,$F$18),IF(M49&gt;$F$8,0,MAX(O49,$F$10)*$F$17))</f>
        <v>0</v>
      </c>
      <c r="W49" s="101">
        <f t="shared" si="23"/>
        <v>0</v>
      </c>
      <c r="X49" s="101">
        <f t="shared" si="24"/>
        <v>0</v>
      </c>
      <c r="Y49" s="102">
        <f>'Simulador CH BX+'!M82</f>
        <v>0</v>
      </c>
      <c r="Z49" s="10"/>
      <c r="AA49" s="149">
        <f t="shared" si="15"/>
        <v>0</v>
      </c>
      <c r="AB49" s="101">
        <f t="shared" si="25"/>
        <v>0</v>
      </c>
      <c r="AC49" s="101">
        <f t="shared" si="9"/>
        <v>0</v>
      </c>
      <c r="AD49" s="101">
        <f t="shared" si="10"/>
        <v>0</v>
      </c>
      <c r="AE49" s="101">
        <f t="shared" si="11"/>
        <v>0</v>
      </c>
      <c r="AF49" s="101">
        <f>IF('Simulador CH BX+'!$D$18="Monto de crédito",$F$11*$F$15,AA49*$F$15)</f>
        <v>0</v>
      </c>
      <c r="AG49" s="101">
        <f>IF('Simulador CH BX+'!$D$17="Valor Destructible",IF(M49&gt;$F$8,0,$F$20),IF(M49&gt;$F$8,0,MAX(AA49,$F$10)*$F$19))</f>
        <v>0</v>
      </c>
      <c r="AH49" s="101">
        <f t="shared" si="12"/>
        <v>299</v>
      </c>
      <c r="AI49" s="101">
        <f t="shared" si="13"/>
        <v>299</v>
      </c>
      <c r="AJ49" s="361">
        <f t="shared" si="14"/>
        <v>299</v>
      </c>
    </row>
    <row r="50" spans="1:36" s="2" customFormat="1" ht="13.5" customHeight="1" thickBot="1" x14ac:dyDescent="0.4">
      <c r="A50" s="8"/>
      <c r="B50" s="345" t="s">
        <v>153</v>
      </c>
      <c r="C50" s="346">
        <v>0.34</v>
      </c>
      <c r="D50" s="347">
        <f>C50*1.16</f>
        <v>0.39440000000000003</v>
      </c>
      <c r="E50" s="10"/>
      <c r="F50" s="10"/>
      <c r="G50" s="10"/>
      <c r="H50" s="412" t="s">
        <v>198</v>
      </c>
      <c r="I50" s="300">
        <v>0.85</v>
      </c>
      <c r="J50" s="301">
        <v>0.109</v>
      </c>
      <c r="K50" s="301">
        <v>0.01</v>
      </c>
      <c r="L50" s="11"/>
      <c r="M50" s="98">
        <v>45</v>
      </c>
      <c r="N50" s="99">
        <f t="shared" si="27"/>
        <v>9.6500000000000002E-2</v>
      </c>
      <c r="O50" s="100">
        <f t="shared" si="26"/>
        <v>0</v>
      </c>
      <c r="P50" s="101">
        <f t="shared" si="20"/>
        <v>0</v>
      </c>
      <c r="Q50" s="101">
        <f t="shared" si="21"/>
        <v>0</v>
      </c>
      <c r="R50" s="101">
        <f t="shared" si="22"/>
        <v>0</v>
      </c>
      <c r="S50" s="101">
        <f t="shared" si="8"/>
        <v>0</v>
      </c>
      <c r="T50" s="101"/>
      <c r="U50" s="101">
        <f>IF('Simulador CH BX+'!$D$18="Monto de crédito",$F$11*$F$15,O50*$F$15)</f>
        <v>0</v>
      </c>
      <c r="V50" s="101">
        <f>IF('Simulador CH BX+'!$D$17="Valor Destructible",IF(O50-$F$18&lt;0,0,$F$18),IF(M50&gt;$F$8,0,MAX(O50,$F$10)*$F$17))</f>
        <v>0</v>
      </c>
      <c r="W50" s="101">
        <f t="shared" si="23"/>
        <v>0</v>
      </c>
      <c r="X50" s="101">
        <f t="shared" si="24"/>
        <v>0</v>
      </c>
      <c r="Y50" s="102">
        <f>'Simulador CH BX+'!M83</f>
        <v>0</v>
      </c>
      <c r="Z50" s="10"/>
      <c r="AA50" s="149">
        <f t="shared" si="15"/>
        <v>0</v>
      </c>
      <c r="AB50" s="101">
        <f t="shared" si="25"/>
        <v>0</v>
      </c>
      <c r="AC50" s="101">
        <f t="shared" si="9"/>
        <v>0</v>
      </c>
      <c r="AD50" s="101">
        <f t="shared" si="10"/>
        <v>0</v>
      </c>
      <c r="AE50" s="101">
        <f t="shared" si="11"/>
        <v>0</v>
      </c>
      <c r="AF50" s="101">
        <f>IF('Simulador CH BX+'!$D$18="Monto de crédito",$F$11*$F$15,AA50*$F$15)</f>
        <v>0</v>
      </c>
      <c r="AG50" s="101">
        <f>IF('Simulador CH BX+'!$D$17="Valor Destructible",IF(M50&gt;$F$8,0,$F$20),IF(M50&gt;$F$8,0,MAX(AA50,$F$10)*$F$19))</f>
        <v>0</v>
      </c>
      <c r="AH50" s="101">
        <f t="shared" si="12"/>
        <v>299</v>
      </c>
      <c r="AI50" s="101">
        <f t="shared" si="13"/>
        <v>299</v>
      </c>
      <c r="AJ50" s="361">
        <f t="shared" si="14"/>
        <v>299</v>
      </c>
    </row>
    <row r="51" spans="1:36" s="2" customFormat="1" ht="13.5" customHeight="1" thickBot="1" x14ac:dyDescent="0.4">
      <c r="A51" s="8"/>
      <c r="E51" s="10"/>
      <c r="F51" s="10"/>
      <c r="G51" s="10"/>
      <c r="H51" s="31"/>
      <c r="I51" s="31"/>
      <c r="J51" s="32"/>
      <c r="K51" s="32"/>
      <c r="L51" s="11"/>
      <c r="M51" s="98">
        <v>46</v>
      </c>
      <c r="N51" s="99">
        <f t="shared" si="27"/>
        <v>9.6500000000000002E-2</v>
      </c>
      <c r="O51" s="100">
        <f t="shared" si="26"/>
        <v>0</v>
      </c>
      <c r="P51" s="101">
        <f t="shared" si="20"/>
        <v>0</v>
      </c>
      <c r="Q51" s="101">
        <f t="shared" si="21"/>
        <v>0</v>
      </c>
      <c r="R51" s="101">
        <f t="shared" si="22"/>
        <v>0</v>
      </c>
      <c r="S51" s="101">
        <f t="shared" si="8"/>
        <v>0</v>
      </c>
      <c r="T51" s="101"/>
      <c r="U51" s="101">
        <f>IF('Simulador CH BX+'!$D$18="Monto de crédito",$F$11*$F$15,O51*$F$15)</f>
        <v>0</v>
      </c>
      <c r="V51" s="101">
        <f>IF('Simulador CH BX+'!$D$17="Valor Destructible",IF(O51-$F$18&lt;0,0,$F$18),IF(M51&gt;$F$8,0,MAX(O51,$F$10)*$F$17))</f>
        <v>0</v>
      </c>
      <c r="W51" s="101">
        <f t="shared" si="23"/>
        <v>0</v>
      </c>
      <c r="X51" s="101">
        <f t="shared" si="24"/>
        <v>0</v>
      </c>
      <c r="Y51" s="102">
        <f>'Simulador CH BX+'!M84</f>
        <v>0</v>
      </c>
      <c r="Z51" s="10"/>
      <c r="AA51" s="149">
        <f t="shared" si="15"/>
        <v>0</v>
      </c>
      <c r="AB51" s="101">
        <f t="shared" si="25"/>
        <v>0</v>
      </c>
      <c r="AC51" s="101">
        <f t="shared" si="9"/>
        <v>0</v>
      </c>
      <c r="AD51" s="101">
        <f t="shared" si="10"/>
        <v>0</v>
      </c>
      <c r="AE51" s="101">
        <f t="shared" si="11"/>
        <v>0</v>
      </c>
      <c r="AF51" s="101">
        <f>IF('Simulador CH BX+'!$D$18="Monto de crédito",$F$11*$F$15,AA51*$F$15)</f>
        <v>0</v>
      </c>
      <c r="AG51" s="101">
        <f>IF('Simulador CH BX+'!$D$17="Valor Destructible",IF(M51&gt;$F$8,0,$F$20),IF(M51&gt;$F$8,0,MAX(AA51,$F$10)*$F$19))</f>
        <v>0</v>
      </c>
      <c r="AH51" s="101">
        <f t="shared" si="12"/>
        <v>299</v>
      </c>
      <c r="AI51" s="101">
        <f t="shared" si="13"/>
        <v>299</v>
      </c>
      <c r="AJ51" s="361">
        <f t="shared" si="14"/>
        <v>299</v>
      </c>
    </row>
    <row r="52" spans="1:36" s="2" customFormat="1" ht="13.5" customHeight="1" x14ac:dyDescent="0.35">
      <c r="A52" s="8"/>
      <c r="B52" s="8"/>
      <c r="C52" s="8"/>
      <c r="D52" s="8"/>
      <c r="E52" s="10"/>
      <c r="F52" s="10"/>
      <c r="G52" s="10"/>
      <c r="H52" s="469" t="s">
        <v>122</v>
      </c>
      <c r="I52" s="478"/>
      <c r="J52" s="478"/>
      <c r="K52" s="470"/>
      <c r="L52" s="11"/>
      <c r="M52" s="98">
        <v>47</v>
      </c>
      <c r="N52" s="99">
        <f t="shared" si="27"/>
        <v>9.6500000000000002E-2</v>
      </c>
      <c r="O52" s="100">
        <f t="shared" si="26"/>
        <v>0</v>
      </c>
      <c r="P52" s="101">
        <f t="shared" si="20"/>
        <v>0</v>
      </c>
      <c r="Q52" s="101">
        <f t="shared" si="21"/>
        <v>0</v>
      </c>
      <c r="R52" s="101">
        <f t="shared" si="22"/>
        <v>0</v>
      </c>
      <c r="S52" s="101">
        <f t="shared" si="8"/>
        <v>0</v>
      </c>
      <c r="T52" s="101"/>
      <c r="U52" s="101">
        <f>IF('Simulador CH BX+'!$D$18="Monto de crédito",$F$11*$F$15,O52*$F$15)</f>
        <v>0</v>
      </c>
      <c r="V52" s="101">
        <f>IF('Simulador CH BX+'!$D$17="Valor Destructible",IF(O52-$F$18&lt;0,0,$F$18),IF(M52&gt;$F$8,0,MAX(O52,$F$10)*$F$17))</f>
        <v>0</v>
      </c>
      <c r="W52" s="101">
        <f t="shared" si="23"/>
        <v>0</v>
      </c>
      <c r="X52" s="101">
        <f t="shared" si="24"/>
        <v>0</v>
      </c>
      <c r="Y52" s="102">
        <f>'Simulador CH BX+'!M85</f>
        <v>0</v>
      </c>
      <c r="Z52" s="10"/>
      <c r="AA52" s="149">
        <f t="shared" si="15"/>
        <v>0</v>
      </c>
      <c r="AB52" s="101">
        <f t="shared" si="25"/>
        <v>0</v>
      </c>
      <c r="AC52" s="101">
        <f t="shared" si="9"/>
        <v>0</v>
      </c>
      <c r="AD52" s="101">
        <f t="shared" si="10"/>
        <v>0</v>
      </c>
      <c r="AE52" s="101">
        <f t="shared" si="11"/>
        <v>0</v>
      </c>
      <c r="AF52" s="101">
        <f>IF('Simulador CH BX+'!$D$18="Monto de crédito",$F$11*$F$15,AA52*$F$15)</f>
        <v>0</v>
      </c>
      <c r="AG52" s="101">
        <f>IF('Simulador CH BX+'!$D$17="Valor Destructible",IF(M52&gt;$F$8,0,$F$20),IF(M52&gt;$F$8,0,MAX(AA52,$F$10)*$F$19))</f>
        <v>0</v>
      </c>
      <c r="AH52" s="101">
        <f t="shared" si="12"/>
        <v>299</v>
      </c>
      <c r="AI52" s="101">
        <f t="shared" si="13"/>
        <v>299</v>
      </c>
      <c r="AJ52" s="361">
        <f t="shared" si="14"/>
        <v>299</v>
      </c>
    </row>
    <row r="53" spans="1:36" s="2" customFormat="1" ht="13.5" customHeight="1" thickBot="1" x14ac:dyDescent="0.4">
      <c r="A53" s="8"/>
      <c r="B53" s="8"/>
      <c r="C53" s="8"/>
      <c r="D53" s="8"/>
      <c r="E53" s="10"/>
      <c r="F53" s="10"/>
      <c r="G53" s="10"/>
      <c r="H53" s="482" t="s">
        <v>111</v>
      </c>
      <c r="I53" s="483"/>
      <c r="J53" s="173" t="s">
        <v>1</v>
      </c>
      <c r="K53" s="166" t="s">
        <v>131</v>
      </c>
      <c r="L53" s="11"/>
      <c r="M53" s="103">
        <v>48</v>
      </c>
      <c r="N53" s="104">
        <f t="shared" si="27"/>
        <v>9.6500000000000002E-2</v>
      </c>
      <c r="O53" s="105">
        <f t="shared" si="26"/>
        <v>0</v>
      </c>
      <c r="P53" s="106">
        <f t="shared" si="20"/>
        <v>0</v>
      </c>
      <c r="Q53" s="106">
        <f t="shared" si="21"/>
        <v>0</v>
      </c>
      <c r="R53" s="106">
        <f t="shared" si="22"/>
        <v>0</v>
      </c>
      <c r="S53" s="106">
        <f t="shared" si="8"/>
        <v>0</v>
      </c>
      <c r="T53" s="106">
        <f>$F$24</f>
        <v>0</v>
      </c>
      <c r="U53" s="106">
        <f>IF('Simulador CH BX+'!$D$18="Monto de crédito",$F$11*$F$15,O53*$F$15)</f>
        <v>0</v>
      </c>
      <c r="V53" s="106">
        <f>IF('Simulador CH BX+'!$D$17="Valor Destructible",IF(O53-$F$18&lt;0,0,$F$18),IF(M53&gt;$F$8,0,MAX(O53,$F$10)*$F$17))</f>
        <v>0</v>
      </c>
      <c r="W53" s="106">
        <f t="shared" si="23"/>
        <v>0</v>
      </c>
      <c r="X53" s="106">
        <f t="shared" si="24"/>
        <v>0</v>
      </c>
      <c r="Y53" s="107">
        <f>'Simulador CH BX+'!M86</f>
        <v>0</v>
      </c>
      <c r="Z53" s="10"/>
      <c r="AA53" s="150">
        <f t="shared" si="15"/>
        <v>0</v>
      </c>
      <c r="AB53" s="106">
        <f t="shared" si="25"/>
        <v>0</v>
      </c>
      <c r="AC53" s="106">
        <f t="shared" si="9"/>
        <v>0</v>
      </c>
      <c r="AD53" s="106">
        <f t="shared" si="10"/>
        <v>0</v>
      </c>
      <c r="AE53" s="106">
        <f t="shared" si="11"/>
        <v>0</v>
      </c>
      <c r="AF53" s="106">
        <f>IF('Simulador CH BX+'!$D$18="Monto de crédito",$F$11*$F$15,AA53*$F$15)</f>
        <v>0</v>
      </c>
      <c r="AG53" s="106">
        <f>IF('Simulador CH BX+'!$D$17="Valor Destructible",IF(M53&gt;$F$8,0,$F$20),IF(M53&gt;$F$8,0,MAX(AA53,$F$10)*$F$19))</f>
        <v>0</v>
      </c>
      <c r="AH53" s="106">
        <f t="shared" si="12"/>
        <v>299</v>
      </c>
      <c r="AI53" s="106">
        <f t="shared" si="13"/>
        <v>299</v>
      </c>
      <c r="AJ53" s="362">
        <f t="shared" si="14"/>
        <v>299</v>
      </c>
    </row>
    <row r="54" spans="1:36" s="2" customFormat="1" ht="13.5" customHeight="1" thickBot="1" x14ac:dyDescent="0.4">
      <c r="A54" s="8"/>
      <c r="B54" s="479" t="s">
        <v>154</v>
      </c>
      <c r="C54" s="481"/>
      <c r="D54" s="8"/>
      <c r="E54" s="479" t="s">
        <v>168</v>
      </c>
      <c r="F54" s="481"/>
      <c r="G54" s="10"/>
      <c r="H54" s="127" t="s">
        <v>116</v>
      </c>
      <c r="I54" s="128">
        <v>0.7</v>
      </c>
      <c r="J54" s="174">
        <v>8.8999999999999996E-2</v>
      </c>
      <c r="K54" s="123">
        <v>0.01</v>
      </c>
      <c r="L54" s="11"/>
      <c r="M54" s="98">
        <v>49</v>
      </c>
      <c r="N54" s="99">
        <f t="shared" ref="N54:N65" si="28">C$23</f>
        <v>9.6500000000000002E-2</v>
      </c>
      <c r="O54" s="100">
        <f t="shared" si="26"/>
        <v>0</v>
      </c>
      <c r="P54" s="101">
        <f t="shared" si="20"/>
        <v>0</v>
      </c>
      <c r="Q54" s="101">
        <f t="shared" si="21"/>
        <v>0</v>
      </c>
      <c r="R54" s="101">
        <f t="shared" si="22"/>
        <v>0</v>
      </c>
      <c r="S54" s="101">
        <f t="shared" si="8"/>
        <v>0</v>
      </c>
      <c r="T54" s="101"/>
      <c r="U54" s="101">
        <f>IF('Simulador CH BX+'!$D$18="Monto de crédito",$F$11*$F$15,O54*$F$15)</f>
        <v>0</v>
      </c>
      <c r="V54" s="101">
        <f>IF('Simulador CH BX+'!$D$17="Valor Destructible",IF(O54-$F$18&lt;0,0,$F$18),IF(M54&gt;$F$8,0,MAX(O54,$F$10)*$F$17))</f>
        <v>0</v>
      </c>
      <c r="W54" s="101">
        <f t="shared" si="23"/>
        <v>0</v>
      </c>
      <c r="X54" s="101">
        <f t="shared" si="24"/>
        <v>0</v>
      </c>
      <c r="Y54" s="102">
        <f>'Simulador CH BX+'!M87</f>
        <v>0</v>
      </c>
      <c r="Z54" s="10"/>
      <c r="AA54" s="149">
        <f t="shared" si="15"/>
        <v>0</v>
      </c>
      <c r="AB54" s="101">
        <f t="shared" si="25"/>
        <v>0</v>
      </c>
      <c r="AC54" s="101">
        <f t="shared" si="9"/>
        <v>0</v>
      </c>
      <c r="AD54" s="101">
        <f t="shared" si="10"/>
        <v>0</v>
      </c>
      <c r="AE54" s="101">
        <f t="shared" si="11"/>
        <v>0</v>
      </c>
      <c r="AF54" s="101">
        <f>IF('Simulador CH BX+'!$D$18="Monto de crédito",$F$11*$F$15,AA54*$F$15)</f>
        <v>0</v>
      </c>
      <c r="AG54" s="101">
        <f>IF('Simulador CH BX+'!$D$17="Valor Destructible",IF(M54&gt;$F$8,0,$F$20),IF(M54&gt;$F$8,0,MAX(AA54,$F$10)*$F$19))</f>
        <v>0</v>
      </c>
      <c r="AH54" s="101">
        <f t="shared" si="12"/>
        <v>299</v>
      </c>
      <c r="AI54" s="101">
        <f t="shared" si="13"/>
        <v>299</v>
      </c>
      <c r="AJ54" s="361">
        <f t="shared" si="14"/>
        <v>299</v>
      </c>
    </row>
    <row r="55" spans="1:36" s="2" customFormat="1" ht="13.5" customHeight="1" x14ac:dyDescent="0.35">
      <c r="A55" s="8"/>
      <c r="B55" s="341" t="s">
        <v>155</v>
      </c>
      <c r="C55" s="348">
        <f>IF('Simulador CH BX+'!$AA$31=1,0.00065,0)</f>
        <v>6.4999999999999997E-4</v>
      </c>
      <c r="D55" s="8"/>
      <c r="E55" s="378">
        <v>8.3743000000000001E-4</v>
      </c>
      <c r="F55" s="10"/>
      <c r="G55" s="10"/>
      <c r="H55" s="127" t="s">
        <v>108</v>
      </c>
      <c r="I55" s="128">
        <v>0.7</v>
      </c>
      <c r="J55" s="174">
        <v>8.8999999999999996E-2</v>
      </c>
      <c r="K55" s="123">
        <v>0.01</v>
      </c>
      <c r="L55" s="11"/>
      <c r="M55" s="98">
        <v>50</v>
      </c>
      <c r="N55" s="99">
        <f t="shared" si="28"/>
        <v>9.6500000000000002E-2</v>
      </c>
      <c r="O55" s="100">
        <f t="shared" si="26"/>
        <v>0</v>
      </c>
      <c r="P55" s="101">
        <f t="shared" si="20"/>
        <v>0</v>
      </c>
      <c r="Q55" s="101">
        <f t="shared" si="21"/>
        <v>0</v>
      </c>
      <c r="R55" s="101">
        <f t="shared" si="22"/>
        <v>0</v>
      </c>
      <c r="S55" s="101">
        <f t="shared" si="8"/>
        <v>0</v>
      </c>
      <c r="T55" s="101"/>
      <c r="U55" s="101">
        <f>IF('Simulador CH BX+'!$D$18="Monto de crédito",$F$11*$F$15,O55*$F$15)</f>
        <v>0</v>
      </c>
      <c r="V55" s="101">
        <f>IF('Simulador CH BX+'!$D$17="Valor Destructible",IF(O55-$F$18&lt;0,0,$F$18),IF(M55&gt;$F$8,0,MAX(O55,$F$10)*$F$17))</f>
        <v>0</v>
      </c>
      <c r="W55" s="101">
        <f t="shared" si="23"/>
        <v>0</v>
      </c>
      <c r="X55" s="101">
        <f t="shared" si="24"/>
        <v>0</v>
      </c>
      <c r="Y55" s="102">
        <f>'Simulador CH BX+'!M88</f>
        <v>0</v>
      </c>
      <c r="Z55" s="10"/>
      <c r="AA55" s="149">
        <f t="shared" si="15"/>
        <v>0</v>
      </c>
      <c r="AB55" s="101">
        <f t="shared" si="25"/>
        <v>0</v>
      </c>
      <c r="AC55" s="101">
        <f t="shared" si="9"/>
        <v>0</v>
      </c>
      <c r="AD55" s="101">
        <f t="shared" si="10"/>
        <v>0</v>
      </c>
      <c r="AE55" s="101">
        <f t="shared" si="11"/>
        <v>0</v>
      </c>
      <c r="AF55" s="101">
        <f>IF('Simulador CH BX+'!$D$18="Monto de crédito",$F$11*$F$15,AA55*$F$15)</f>
        <v>0</v>
      </c>
      <c r="AG55" s="101">
        <f>IF('Simulador CH BX+'!$D$17="Valor Destructible",IF(M55&gt;$F$8,0,$F$20),IF(M55&gt;$F$8,0,MAX(AA55,$F$10)*$F$19))</f>
        <v>0</v>
      </c>
      <c r="AH55" s="101">
        <f t="shared" si="12"/>
        <v>299</v>
      </c>
      <c r="AI55" s="101">
        <f t="shared" si="13"/>
        <v>299</v>
      </c>
      <c r="AJ55" s="361">
        <f t="shared" si="14"/>
        <v>299</v>
      </c>
    </row>
    <row r="56" spans="1:36" s="2" customFormat="1" ht="13.5" customHeight="1" x14ac:dyDescent="0.35">
      <c r="A56" s="8"/>
      <c r="B56" s="342" t="s">
        <v>156</v>
      </c>
      <c r="C56" s="349">
        <f>IF('Simulador CH BX+'!$AA$31=2,0.00095,0)</f>
        <v>0</v>
      </c>
      <c r="D56" s="8"/>
      <c r="E56" s="10"/>
      <c r="F56" s="10"/>
      <c r="G56" s="10"/>
      <c r="H56" s="127" t="s">
        <v>119</v>
      </c>
      <c r="I56" s="128">
        <v>0.5</v>
      </c>
      <c r="J56" s="174">
        <v>0.1</v>
      </c>
      <c r="K56" s="123">
        <v>0.02</v>
      </c>
      <c r="L56" s="11"/>
      <c r="M56" s="98">
        <v>51</v>
      </c>
      <c r="N56" s="99">
        <f t="shared" si="28"/>
        <v>9.6500000000000002E-2</v>
      </c>
      <c r="O56" s="100">
        <f t="shared" si="26"/>
        <v>0</v>
      </c>
      <c r="P56" s="101">
        <f t="shared" si="20"/>
        <v>0</v>
      </c>
      <c r="Q56" s="101">
        <f t="shared" si="21"/>
        <v>0</v>
      </c>
      <c r="R56" s="101">
        <f t="shared" si="22"/>
        <v>0</v>
      </c>
      <c r="S56" s="101">
        <f t="shared" si="8"/>
        <v>0</v>
      </c>
      <c r="T56" s="101"/>
      <c r="U56" s="101">
        <f>IF('Simulador CH BX+'!$D$18="Monto de crédito",$F$11*$F$15,O56*$F$15)</f>
        <v>0</v>
      </c>
      <c r="V56" s="101">
        <f>IF('Simulador CH BX+'!$D$17="Valor Destructible",IF(O56-$F$18&lt;0,0,$F$18),IF(M56&gt;$F$8,0,MAX(O56,$F$10)*$F$17))</f>
        <v>0</v>
      </c>
      <c r="W56" s="101">
        <f t="shared" si="23"/>
        <v>0</v>
      </c>
      <c r="X56" s="101">
        <f t="shared" si="24"/>
        <v>0</v>
      </c>
      <c r="Y56" s="102">
        <f>'Simulador CH BX+'!M89</f>
        <v>0</v>
      </c>
      <c r="Z56" s="10"/>
      <c r="AA56" s="149">
        <f t="shared" si="15"/>
        <v>0</v>
      </c>
      <c r="AB56" s="101">
        <f t="shared" si="25"/>
        <v>0</v>
      </c>
      <c r="AC56" s="101">
        <f t="shared" si="9"/>
        <v>0</v>
      </c>
      <c r="AD56" s="101">
        <f t="shared" si="10"/>
        <v>0</v>
      </c>
      <c r="AE56" s="101">
        <f t="shared" si="11"/>
        <v>0</v>
      </c>
      <c r="AF56" s="101">
        <f>IF('Simulador CH BX+'!$D$18="Monto de crédito",$F$11*$F$15,AA56*$F$15)</f>
        <v>0</v>
      </c>
      <c r="AG56" s="101">
        <f>IF('Simulador CH BX+'!$D$17="Valor Destructible",IF(M56&gt;$F$8,0,$F$20),IF(M56&gt;$F$8,0,MAX(AA56,$F$10)*$F$19))</f>
        <v>0</v>
      </c>
      <c r="AH56" s="101">
        <f t="shared" si="12"/>
        <v>299</v>
      </c>
      <c r="AI56" s="101">
        <f t="shared" si="13"/>
        <v>299</v>
      </c>
      <c r="AJ56" s="361">
        <f t="shared" si="14"/>
        <v>299</v>
      </c>
    </row>
    <row r="57" spans="1:36" s="2" customFormat="1" ht="13.5" customHeight="1" x14ac:dyDescent="0.35">
      <c r="A57" s="8"/>
      <c r="B57" s="491" t="s">
        <v>157</v>
      </c>
      <c r="C57" s="493">
        <f>IF('Simulador CH BX+'!$AA$31=3,0.00125,IF('Simulador CH BX+'!$AA$31=2,0.00095,0))</f>
        <v>0</v>
      </c>
      <c r="D57" s="8"/>
      <c r="E57" s="10"/>
      <c r="F57" s="10"/>
      <c r="G57" s="10"/>
      <c r="H57" s="127" t="s">
        <v>113</v>
      </c>
      <c r="I57" s="128">
        <v>0.85</v>
      </c>
      <c r="J57" s="174">
        <v>0.09</v>
      </c>
      <c r="K57" s="123">
        <v>0</v>
      </c>
      <c r="L57" s="11"/>
      <c r="M57" s="98">
        <v>52</v>
      </c>
      <c r="N57" s="99">
        <f t="shared" si="28"/>
        <v>9.6500000000000002E-2</v>
      </c>
      <c r="O57" s="100">
        <f t="shared" si="26"/>
        <v>0</v>
      </c>
      <c r="P57" s="101">
        <f t="shared" si="20"/>
        <v>0</v>
      </c>
      <c r="Q57" s="101">
        <f t="shared" si="21"/>
        <v>0</v>
      </c>
      <c r="R57" s="101">
        <f t="shared" si="22"/>
        <v>0</v>
      </c>
      <c r="S57" s="101">
        <f t="shared" si="8"/>
        <v>0</v>
      </c>
      <c r="T57" s="101"/>
      <c r="U57" s="101">
        <f>IF('Simulador CH BX+'!$D$18="Monto de crédito",$F$11*$F$15,O57*$F$15)</f>
        <v>0</v>
      </c>
      <c r="V57" s="101">
        <f>IF('Simulador CH BX+'!$D$17="Valor Destructible",IF(O57-$F$18&lt;0,0,$F$18),IF(M57&gt;$F$8,0,MAX(O57,$F$10)*$F$17))</f>
        <v>0</v>
      </c>
      <c r="W57" s="101">
        <f t="shared" si="23"/>
        <v>0</v>
      </c>
      <c r="X57" s="101">
        <f t="shared" si="24"/>
        <v>0</v>
      </c>
      <c r="Y57" s="102">
        <f>'Simulador CH BX+'!M90</f>
        <v>0</v>
      </c>
      <c r="Z57" s="10"/>
      <c r="AA57" s="149">
        <f t="shared" si="15"/>
        <v>0</v>
      </c>
      <c r="AB57" s="101">
        <f t="shared" si="25"/>
        <v>0</v>
      </c>
      <c r="AC57" s="101">
        <f t="shared" si="9"/>
        <v>0</v>
      </c>
      <c r="AD57" s="101">
        <f t="shared" si="10"/>
        <v>0</v>
      </c>
      <c r="AE57" s="101">
        <f t="shared" si="11"/>
        <v>0</v>
      </c>
      <c r="AF57" s="101">
        <f>IF('Simulador CH BX+'!$D$18="Monto de crédito",$F$11*$F$15,AA57*$F$15)</f>
        <v>0</v>
      </c>
      <c r="AG57" s="101">
        <f>IF('Simulador CH BX+'!$D$17="Valor Destructible",IF(M57&gt;$F$8,0,$F$20),IF(M57&gt;$F$8,0,MAX(AA57,$F$10)*$F$19))</f>
        <v>0</v>
      </c>
      <c r="AH57" s="101">
        <f t="shared" si="12"/>
        <v>299</v>
      </c>
      <c r="AI57" s="101">
        <f t="shared" si="13"/>
        <v>299</v>
      </c>
      <c r="AJ57" s="361">
        <f t="shared" si="14"/>
        <v>299</v>
      </c>
    </row>
    <row r="58" spans="1:36" s="2" customFormat="1" ht="13.5" customHeight="1" thickBot="1" x14ac:dyDescent="0.4">
      <c r="A58" s="8"/>
      <c r="B58" s="492"/>
      <c r="C58" s="494">
        <v>0</v>
      </c>
      <c r="D58" s="8"/>
      <c r="E58" s="10"/>
      <c r="F58" s="10"/>
      <c r="G58" s="10"/>
      <c r="H58" s="170" t="s">
        <v>121</v>
      </c>
      <c r="I58" s="128">
        <v>8.5000000000000006E-2</v>
      </c>
      <c r="J58" s="174">
        <v>0.09</v>
      </c>
      <c r="K58" s="123">
        <v>0</v>
      </c>
      <c r="L58" s="11"/>
      <c r="M58" s="98">
        <v>53</v>
      </c>
      <c r="N58" s="99">
        <f t="shared" si="28"/>
        <v>9.6500000000000002E-2</v>
      </c>
      <c r="O58" s="100">
        <f t="shared" si="26"/>
        <v>0</v>
      </c>
      <c r="P58" s="101">
        <f t="shared" si="20"/>
        <v>0</v>
      </c>
      <c r="Q58" s="101">
        <f t="shared" si="21"/>
        <v>0</v>
      </c>
      <c r="R58" s="101">
        <f t="shared" si="22"/>
        <v>0</v>
      </c>
      <c r="S58" s="101">
        <f t="shared" si="8"/>
        <v>0</v>
      </c>
      <c r="T58" s="101"/>
      <c r="U58" s="101">
        <f>IF('Simulador CH BX+'!$D$18="Monto de crédito",$F$11*$F$15,O58*$F$15)</f>
        <v>0</v>
      </c>
      <c r="V58" s="101">
        <f>IF('Simulador CH BX+'!$D$17="Valor Destructible",IF(O58-$F$18&lt;0,0,$F$18),IF(M58&gt;$F$8,0,MAX(O58,$F$10)*$F$17))</f>
        <v>0</v>
      </c>
      <c r="W58" s="101">
        <f t="shared" si="23"/>
        <v>0</v>
      </c>
      <c r="X58" s="101">
        <f t="shared" si="24"/>
        <v>0</v>
      </c>
      <c r="Y58" s="102">
        <f>'Simulador CH BX+'!M91</f>
        <v>0</v>
      </c>
      <c r="Z58" s="10"/>
      <c r="AA58" s="149">
        <f t="shared" si="15"/>
        <v>0</v>
      </c>
      <c r="AB58" s="101">
        <f t="shared" si="25"/>
        <v>0</v>
      </c>
      <c r="AC58" s="101">
        <f t="shared" si="9"/>
        <v>0</v>
      </c>
      <c r="AD58" s="101">
        <f t="shared" si="10"/>
        <v>0</v>
      </c>
      <c r="AE58" s="101">
        <f t="shared" si="11"/>
        <v>0</v>
      </c>
      <c r="AF58" s="101">
        <f>IF('Simulador CH BX+'!$D$18="Monto de crédito",$F$11*$F$15,AA58*$F$15)</f>
        <v>0</v>
      </c>
      <c r="AG58" s="101">
        <f>IF('Simulador CH BX+'!$D$17="Valor Destructible",IF(M58&gt;$F$8,0,$F$20),IF(M58&gt;$F$8,0,MAX(AA58,$F$10)*$F$19))</f>
        <v>0</v>
      </c>
      <c r="AH58" s="101">
        <f t="shared" si="12"/>
        <v>299</v>
      </c>
      <c r="AI58" s="101">
        <f t="shared" si="13"/>
        <v>299</v>
      </c>
      <c r="AJ58" s="361">
        <f t="shared" si="14"/>
        <v>299</v>
      </c>
    </row>
    <row r="59" spans="1:36" s="2" customFormat="1" ht="13.5" customHeight="1" thickBot="1" x14ac:dyDescent="0.4">
      <c r="A59" s="8"/>
      <c r="B59" s="350" t="s">
        <v>158</v>
      </c>
      <c r="C59" s="351">
        <f>MAX(C55:C58)</f>
        <v>6.4999999999999997E-4</v>
      </c>
      <c r="D59" s="8"/>
      <c r="E59" s="10"/>
      <c r="F59" s="10"/>
      <c r="G59" s="10"/>
      <c r="H59" s="126" t="s">
        <v>112</v>
      </c>
      <c r="I59" s="129">
        <v>0.7</v>
      </c>
      <c r="J59" s="175">
        <v>8.8999999999999996E-2</v>
      </c>
      <c r="K59" s="124">
        <v>0.01</v>
      </c>
      <c r="L59" s="11"/>
      <c r="M59" s="98">
        <v>54</v>
      </c>
      <c r="N59" s="99">
        <f t="shared" si="28"/>
        <v>9.6500000000000002E-2</v>
      </c>
      <c r="O59" s="100">
        <f t="shared" si="26"/>
        <v>0</v>
      </c>
      <c r="P59" s="101">
        <f t="shared" si="20"/>
        <v>0</v>
      </c>
      <c r="Q59" s="101">
        <f t="shared" si="21"/>
        <v>0</v>
      </c>
      <c r="R59" s="101">
        <f t="shared" si="22"/>
        <v>0</v>
      </c>
      <c r="S59" s="101">
        <f t="shared" si="8"/>
        <v>0</v>
      </c>
      <c r="T59" s="101"/>
      <c r="U59" s="101">
        <f>IF('Simulador CH BX+'!$D$18="Monto de crédito",$F$11*$F$15,O59*$F$15)</f>
        <v>0</v>
      </c>
      <c r="V59" s="101">
        <f>IF('Simulador CH BX+'!$D$17="Valor Destructible",IF(O59-$F$18&lt;0,0,$F$18),IF(M59&gt;$F$8,0,MAX(O59,$F$10)*$F$17))</f>
        <v>0</v>
      </c>
      <c r="W59" s="101">
        <f t="shared" si="23"/>
        <v>0</v>
      </c>
      <c r="X59" s="101">
        <f t="shared" si="24"/>
        <v>0</v>
      </c>
      <c r="Y59" s="102">
        <f>'Simulador CH BX+'!M92</f>
        <v>0</v>
      </c>
      <c r="Z59" s="10"/>
      <c r="AA59" s="149">
        <f t="shared" si="15"/>
        <v>0</v>
      </c>
      <c r="AB59" s="101">
        <f t="shared" si="25"/>
        <v>0</v>
      </c>
      <c r="AC59" s="101">
        <f t="shared" si="9"/>
        <v>0</v>
      </c>
      <c r="AD59" s="101">
        <f t="shared" si="10"/>
        <v>0</v>
      </c>
      <c r="AE59" s="101">
        <f t="shared" si="11"/>
        <v>0</v>
      </c>
      <c r="AF59" s="101">
        <f>IF('Simulador CH BX+'!$D$18="Monto de crédito",$F$11*$F$15,AA59*$F$15)</f>
        <v>0</v>
      </c>
      <c r="AG59" s="101">
        <f>IF('Simulador CH BX+'!$D$17="Valor Destructible",IF(M59&gt;$F$8,0,$F$20),IF(M59&gt;$F$8,0,MAX(AA59,$F$10)*$F$19))</f>
        <v>0</v>
      </c>
      <c r="AH59" s="101">
        <f t="shared" si="12"/>
        <v>299</v>
      </c>
      <c r="AI59" s="101">
        <f t="shared" si="13"/>
        <v>299</v>
      </c>
      <c r="AJ59" s="361">
        <f t="shared" si="14"/>
        <v>299</v>
      </c>
    </row>
    <row r="60" spans="1:36" s="2" customFormat="1" ht="13.5" customHeight="1" thickTop="1" x14ac:dyDescent="0.35">
      <c r="A60" s="8"/>
      <c r="B60" s="8"/>
      <c r="C60" s="8"/>
      <c r="D60" s="8"/>
      <c r="E60" s="10"/>
      <c r="F60" s="10"/>
      <c r="G60" s="10"/>
      <c r="H60" s="10"/>
      <c r="I60" s="10"/>
      <c r="J60" s="10"/>
      <c r="K60" s="10"/>
      <c r="L60" s="11"/>
      <c r="M60" s="98">
        <v>55</v>
      </c>
      <c r="N60" s="99">
        <f t="shared" si="28"/>
        <v>9.6500000000000002E-2</v>
      </c>
      <c r="O60" s="100">
        <f t="shared" si="26"/>
        <v>0</v>
      </c>
      <c r="P60" s="101">
        <f t="shared" si="20"/>
        <v>0</v>
      </c>
      <c r="Q60" s="101">
        <f t="shared" si="21"/>
        <v>0</v>
      </c>
      <c r="R60" s="101">
        <f t="shared" si="22"/>
        <v>0</v>
      </c>
      <c r="S60" s="101">
        <f t="shared" si="8"/>
        <v>0</v>
      </c>
      <c r="T60" s="101"/>
      <c r="U60" s="101">
        <f>IF('Simulador CH BX+'!$D$18="Monto de crédito",$F$11*$F$15,O60*$F$15)</f>
        <v>0</v>
      </c>
      <c r="V60" s="101">
        <f>IF('Simulador CH BX+'!$D$17="Valor Destructible",IF(O60-$F$18&lt;0,0,$F$18),IF(M60&gt;$F$8,0,MAX(O60,$F$10)*$F$17))</f>
        <v>0</v>
      </c>
      <c r="W60" s="101">
        <f t="shared" si="23"/>
        <v>0</v>
      </c>
      <c r="X60" s="101">
        <f t="shared" si="24"/>
        <v>0</v>
      </c>
      <c r="Y60" s="102">
        <f>'Simulador CH BX+'!M93</f>
        <v>0</v>
      </c>
      <c r="Z60" s="10"/>
      <c r="AA60" s="149">
        <f t="shared" si="15"/>
        <v>0</v>
      </c>
      <c r="AB60" s="101">
        <f t="shared" si="25"/>
        <v>0</v>
      </c>
      <c r="AC60" s="101">
        <f t="shared" si="9"/>
        <v>0</v>
      </c>
      <c r="AD60" s="101">
        <f t="shared" si="10"/>
        <v>0</v>
      </c>
      <c r="AE60" s="101">
        <f t="shared" si="11"/>
        <v>0</v>
      </c>
      <c r="AF60" s="101">
        <f>IF('Simulador CH BX+'!$D$18="Monto de crédito",$F$11*$F$15,AA60*$F$15)</f>
        <v>0</v>
      </c>
      <c r="AG60" s="101">
        <f>IF('Simulador CH BX+'!$D$17="Valor Destructible",IF(M60&gt;$F$8,0,$F$20),IF(M60&gt;$F$8,0,MAX(AA60,$F$10)*$F$19))</f>
        <v>0</v>
      </c>
      <c r="AH60" s="101">
        <f t="shared" si="12"/>
        <v>299</v>
      </c>
      <c r="AI60" s="101">
        <f t="shared" si="13"/>
        <v>299</v>
      </c>
      <c r="AJ60" s="361">
        <f t="shared" si="14"/>
        <v>299</v>
      </c>
    </row>
    <row r="61" spans="1:36" s="2" customFormat="1" ht="13.5" customHeight="1" x14ac:dyDescent="0.35">
      <c r="A61" s="8"/>
      <c r="B61" s="8"/>
      <c r="C61" s="8"/>
      <c r="D61" s="8"/>
      <c r="E61" s="10"/>
      <c r="F61" s="10"/>
      <c r="G61" s="10"/>
      <c r="H61" s="10"/>
      <c r="I61" s="10"/>
      <c r="J61" s="10"/>
      <c r="K61" s="10"/>
      <c r="L61" s="11"/>
      <c r="M61" s="98">
        <v>56</v>
      </c>
      <c r="N61" s="99">
        <f t="shared" si="28"/>
        <v>9.6500000000000002E-2</v>
      </c>
      <c r="O61" s="100">
        <f t="shared" si="26"/>
        <v>0</v>
      </c>
      <c r="P61" s="101">
        <f t="shared" si="20"/>
        <v>0</v>
      </c>
      <c r="Q61" s="101">
        <f t="shared" si="21"/>
        <v>0</v>
      </c>
      <c r="R61" s="101">
        <f t="shared" si="22"/>
        <v>0</v>
      </c>
      <c r="S61" s="101">
        <f t="shared" si="8"/>
        <v>0</v>
      </c>
      <c r="T61" s="101"/>
      <c r="U61" s="101">
        <f>IF('Simulador CH BX+'!$D$18="Monto de crédito",$F$11*$F$15,O61*$F$15)</f>
        <v>0</v>
      </c>
      <c r="V61" s="101">
        <f>IF('Simulador CH BX+'!$D$17="Valor Destructible",IF(O61-$F$18&lt;0,0,$F$18),IF(M61&gt;$F$8,0,MAX(O61,$F$10)*$F$17))</f>
        <v>0</v>
      </c>
      <c r="W61" s="101">
        <f t="shared" si="23"/>
        <v>0</v>
      </c>
      <c r="X61" s="101">
        <f t="shared" si="24"/>
        <v>0</v>
      </c>
      <c r="Y61" s="102">
        <f>'Simulador CH BX+'!M94</f>
        <v>0</v>
      </c>
      <c r="Z61" s="10"/>
      <c r="AA61" s="149">
        <f t="shared" si="15"/>
        <v>0</v>
      </c>
      <c r="AB61" s="101">
        <f t="shared" si="25"/>
        <v>0</v>
      </c>
      <c r="AC61" s="101">
        <f t="shared" si="9"/>
        <v>0</v>
      </c>
      <c r="AD61" s="101">
        <f t="shared" si="10"/>
        <v>0</v>
      </c>
      <c r="AE61" s="101">
        <f t="shared" si="11"/>
        <v>0</v>
      </c>
      <c r="AF61" s="101">
        <f>IF('Simulador CH BX+'!$D$18="Monto de crédito",$F$11*$F$15,AA61*$F$15)</f>
        <v>0</v>
      </c>
      <c r="AG61" s="101">
        <f>IF('Simulador CH BX+'!$D$17="Valor Destructible",IF(M61&gt;$F$8,0,$F$20),IF(M61&gt;$F$8,0,MAX(AA61,$F$10)*$F$19))</f>
        <v>0</v>
      </c>
      <c r="AH61" s="101">
        <f t="shared" si="12"/>
        <v>299</v>
      </c>
      <c r="AI61" s="101">
        <f t="shared" si="13"/>
        <v>299</v>
      </c>
      <c r="AJ61" s="361">
        <f t="shared" si="14"/>
        <v>299</v>
      </c>
    </row>
    <row r="62" spans="1:36" s="2" customFormat="1" ht="13.5" customHeight="1" x14ac:dyDescent="0.35">
      <c r="A62" s="8"/>
      <c r="B62" s="8"/>
      <c r="C62" s="8"/>
      <c r="D62" s="8"/>
      <c r="E62" s="10"/>
      <c r="F62" s="10"/>
      <c r="G62" s="10"/>
      <c r="H62" s="10"/>
      <c r="I62" s="10"/>
      <c r="J62" s="10"/>
      <c r="K62" s="10"/>
      <c r="L62" s="11"/>
      <c r="M62" s="98">
        <v>57</v>
      </c>
      <c r="N62" s="99">
        <f t="shared" si="28"/>
        <v>9.6500000000000002E-2</v>
      </c>
      <c r="O62" s="100">
        <f t="shared" si="26"/>
        <v>0</v>
      </c>
      <c r="P62" s="101">
        <f t="shared" si="20"/>
        <v>0</v>
      </c>
      <c r="Q62" s="101">
        <f t="shared" si="21"/>
        <v>0</v>
      </c>
      <c r="R62" s="101">
        <f t="shared" si="22"/>
        <v>0</v>
      </c>
      <c r="S62" s="101">
        <f t="shared" si="8"/>
        <v>0</v>
      </c>
      <c r="T62" s="101"/>
      <c r="U62" s="101">
        <f>IF('Simulador CH BX+'!$D$18="Monto de crédito",$F$11*$F$15,O62*$F$15)</f>
        <v>0</v>
      </c>
      <c r="V62" s="101">
        <f>IF('Simulador CH BX+'!$D$17="Valor Destructible",IF(O62-$F$18&lt;0,0,$F$18),IF(M62&gt;$F$8,0,MAX(O62,$F$10)*$F$17))</f>
        <v>0</v>
      </c>
      <c r="W62" s="101">
        <f t="shared" si="23"/>
        <v>0</v>
      </c>
      <c r="X62" s="101">
        <f t="shared" si="24"/>
        <v>0</v>
      </c>
      <c r="Y62" s="102">
        <f>'Simulador CH BX+'!M95</f>
        <v>0</v>
      </c>
      <c r="Z62" s="10"/>
      <c r="AA62" s="149">
        <f t="shared" si="15"/>
        <v>0</v>
      </c>
      <c r="AB62" s="101">
        <f t="shared" si="25"/>
        <v>0</v>
      </c>
      <c r="AC62" s="101">
        <f t="shared" si="9"/>
        <v>0</v>
      </c>
      <c r="AD62" s="101">
        <f t="shared" si="10"/>
        <v>0</v>
      </c>
      <c r="AE62" s="101">
        <f t="shared" si="11"/>
        <v>0</v>
      </c>
      <c r="AF62" s="101">
        <f>IF('Simulador CH BX+'!$D$18="Monto de crédito",$F$11*$F$15,AA62*$F$15)</f>
        <v>0</v>
      </c>
      <c r="AG62" s="101">
        <f>IF('Simulador CH BX+'!$D$17="Valor Destructible",IF(M62&gt;$F$8,0,$F$20),IF(M62&gt;$F$8,0,MAX(AA62,$F$10)*$F$19))</f>
        <v>0</v>
      </c>
      <c r="AH62" s="101">
        <f t="shared" si="12"/>
        <v>299</v>
      </c>
      <c r="AI62" s="101">
        <f t="shared" si="13"/>
        <v>299</v>
      </c>
      <c r="AJ62" s="361">
        <f t="shared" si="14"/>
        <v>299</v>
      </c>
    </row>
    <row r="63" spans="1:36" s="2" customFormat="1" ht="13.5" customHeight="1" x14ac:dyDescent="0.35">
      <c r="A63" s="8"/>
      <c r="B63" s="8"/>
      <c r="C63" s="8"/>
      <c r="D63" s="8"/>
      <c r="E63" s="10"/>
      <c r="F63" s="10"/>
      <c r="G63" s="10"/>
      <c r="H63" s="10" t="s">
        <v>179</v>
      </c>
      <c r="I63" s="405" t="s">
        <v>149</v>
      </c>
      <c r="J63" s="359" t="s">
        <v>166</v>
      </c>
      <c r="K63" s="10"/>
      <c r="L63" s="11"/>
      <c r="M63" s="98">
        <v>58</v>
      </c>
      <c r="N63" s="99">
        <f t="shared" si="28"/>
        <v>9.6500000000000002E-2</v>
      </c>
      <c r="O63" s="100">
        <f t="shared" si="26"/>
        <v>0</v>
      </c>
      <c r="P63" s="101">
        <f t="shared" si="20"/>
        <v>0</v>
      </c>
      <c r="Q63" s="101">
        <f t="shared" si="21"/>
        <v>0</v>
      </c>
      <c r="R63" s="101">
        <f t="shared" si="22"/>
        <v>0</v>
      </c>
      <c r="S63" s="101">
        <f t="shared" si="8"/>
        <v>0</v>
      </c>
      <c r="T63" s="101"/>
      <c r="U63" s="101">
        <f>IF('Simulador CH BX+'!$D$18="Monto de crédito",$F$11*$F$15,O63*$F$15)</f>
        <v>0</v>
      </c>
      <c r="V63" s="101">
        <f>IF('Simulador CH BX+'!$D$17="Valor Destructible",IF(O63-$F$18&lt;0,0,$F$18),IF(M63&gt;$F$8,0,MAX(O63,$F$10)*$F$17))</f>
        <v>0</v>
      </c>
      <c r="W63" s="101">
        <f t="shared" si="23"/>
        <v>0</v>
      </c>
      <c r="X63" s="101">
        <f t="shared" si="24"/>
        <v>0</v>
      </c>
      <c r="Y63" s="102">
        <f>'Simulador CH BX+'!M96</f>
        <v>0</v>
      </c>
      <c r="Z63" s="10"/>
      <c r="AA63" s="149">
        <f t="shared" si="15"/>
        <v>0</v>
      </c>
      <c r="AB63" s="101">
        <f t="shared" si="25"/>
        <v>0</v>
      </c>
      <c r="AC63" s="101">
        <f t="shared" si="9"/>
        <v>0</v>
      </c>
      <c r="AD63" s="101">
        <f t="shared" si="10"/>
        <v>0</v>
      </c>
      <c r="AE63" s="101">
        <f t="shared" si="11"/>
        <v>0</v>
      </c>
      <c r="AF63" s="101">
        <f>IF('Simulador CH BX+'!$D$18="Monto de crédito",$F$11*$F$15,AA63*$F$15)</f>
        <v>0</v>
      </c>
      <c r="AG63" s="101">
        <f>IF('Simulador CH BX+'!$D$17="Valor Destructible",IF(M63&gt;$F$8,0,$F$20),IF(M63&gt;$F$8,0,MAX(AA63,$F$10)*$F$19))</f>
        <v>0</v>
      </c>
      <c r="AH63" s="101">
        <f t="shared" si="12"/>
        <v>299</v>
      </c>
      <c r="AI63" s="101">
        <f t="shared" si="13"/>
        <v>299</v>
      </c>
      <c r="AJ63" s="361">
        <f t="shared" si="14"/>
        <v>299</v>
      </c>
    </row>
    <row r="64" spans="1:36" s="2" customFormat="1" ht="13.5" customHeight="1" x14ac:dyDescent="0.35">
      <c r="A64" s="8"/>
      <c r="B64" s="8"/>
      <c r="C64" s="8"/>
      <c r="D64" s="8"/>
      <c r="E64" s="10"/>
      <c r="F64" s="10"/>
      <c r="G64" s="10"/>
      <c r="H64" s="407" t="s">
        <v>183</v>
      </c>
      <c r="I64" s="19">
        <v>0.3</v>
      </c>
      <c r="J64" s="308" t="s">
        <v>2</v>
      </c>
      <c r="K64" s="10"/>
      <c r="L64" s="11"/>
      <c r="M64" s="98">
        <v>59</v>
      </c>
      <c r="N64" s="99">
        <f t="shared" si="28"/>
        <v>9.6500000000000002E-2</v>
      </c>
      <c r="O64" s="100">
        <f t="shared" si="26"/>
        <v>0</v>
      </c>
      <c r="P64" s="101">
        <f t="shared" si="20"/>
        <v>0</v>
      </c>
      <c r="Q64" s="101">
        <f t="shared" si="21"/>
        <v>0</v>
      </c>
      <c r="R64" s="101">
        <f t="shared" si="22"/>
        <v>0</v>
      </c>
      <c r="S64" s="101">
        <f t="shared" si="8"/>
        <v>0</v>
      </c>
      <c r="T64" s="101"/>
      <c r="U64" s="101">
        <f>IF('Simulador CH BX+'!$D$18="Monto de crédito",$F$11*$F$15,O64*$F$15)</f>
        <v>0</v>
      </c>
      <c r="V64" s="101">
        <f>IF('Simulador CH BX+'!$D$17="Valor Destructible",IF(O64-$F$18&lt;0,0,$F$18),IF(M64&gt;$F$8,0,MAX(O64,$F$10)*$F$17))</f>
        <v>0</v>
      </c>
      <c r="W64" s="101">
        <f t="shared" si="23"/>
        <v>0</v>
      </c>
      <c r="X64" s="101">
        <f t="shared" si="24"/>
        <v>0</v>
      </c>
      <c r="Y64" s="102">
        <f>'Simulador CH BX+'!M97</f>
        <v>0</v>
      </c>
      <c r="Z64" s="10"/>
      <c r="AA64" s="149">
        <f t="shared" si="15"/>
        <v>0</v>
      </c>
      <c r="AB64" s="101">
        <f t="shared" si="25"/>
        <v>0</v>
      </c>
      <c r="AC64" s="101">
        <f t="shared" si="9"/>
        <v>0</v>
      </c>
      <c r="AD64" s="101">
        <f t="shared" si="10"/>
        <v>0</v>
      </c>
      <c r="AE64" s="101">
        <f t="shared" si="11"/>
        <v>0</v>
      </c>
      <c r="AF64" s="101">
        <f>IF('Simulador CH BX+'!$D$18="Monto de crédito",$F$11*$F$15,AA64*$F$15)</f>
        <v>0</v>
      </c>
      <c r="AG64" s="101">
        <f>IF('Simulador CH BX+'!$D$17="Valor Destructible",IF(M64&gt;$F$8,0,$F$20),IF(M64&gt;$F$8,0,MAX(AA64,$F$10)*$F$19))</f>
        <v>0</v>
      </c>
      <c r="AH64" s="101">
        <f t="shared" si="12"/>
        <v>299</v>
      </c>
      <c r="AI64" s="101">
        <f t="shared" si="13"/>
        <v>299</v>
      </c>
      <c r="AJ64" s="361">
        <f t="shared" si="14"/>
        <v>299</v>
      </c>
    </row>
    <row r="65" spans="1:36" s="2" customFormat="1" ht="13.5" customHeight="1" x14ac:dyDescent="0.35">
      <c r="A65" s="8"/>
      <c r="B65" s="8"/>
      <c r="C65" s="8"/>
      <c r="D65" s="8"/>
      <c r="E65" s="10"/>
      <c r="F65" s="10"/>
      <c r="G65" s="10"/>
      <c r="H65" s="407" t="s">
        <v>183</v>
      </c>
      <c r="I65" s="19">
        <v>0.3</v>
      </c>
      <c r="J65" s="308" t="s">
        <v>150</v>
      </c>
      <c r="K65" s="10"/>
      <c r="L65" s="11"/>
      <c r="M65" s="103">
        <v>60</v>
      </c>
      <c r="N65" s="104">
        <f t="shared" si="28"/>
        <v>9.6500000000000002E-2</v>
      </c>
      <c r="O65" s="105">
        <f t="shared" si="26"/>
        <v>0</v>
      </c>
      <c r="P65" s="106">
        <f t="shared" si="20"/>
        <v>0</v>
      </c>
      <c r="Q65" s="106">
        <f t="shared" si="21"/>
        <v>0</v>
      </c>
      <c r="R65" s="106">
        <f t="shared" si="22"/>
        <v>0</v>
      </c>
      <c r="S65" s="106">
        <f t="shared" si="8"/>
        <v>0</v>
      </c>
      <c r="T65" s="106">
        <f>$F$24</f>
        <v>0</v>
      </c>
      <c r="U65" s="106">
        <f>IF('Simulador CH BX+'!$D$18="Monto de crédito",$F$11*$F$15,O65*$F$15)</f>
        <v>0</v>
      </c>
      <c r="V65" s="106">
        <f>IF('Simulador CH BX+'!$D$17="Valor Destructible",IF(O65-$F$18&lt;0,0,$F$18),IF(M65&gt;$F$8,0,MAX(O65,$F$10)*$F$17))</f>
        <v>0</v>
      </c>
      <c r="W65" s="106">
        <f t="shared" si="23"/>
        <v>0</v>
      </c>
      <c r="X65" s="106">
        <f t="shared" si="24"/>
        <v>0</v>
      </c>
      <c r="Y65" s="107">
        <f>'Simulador CH BX+'!M98</f>
        <v>0</v>
      </c>
      <c r="Z65" s="10"/>
      <c r="AA65" s="150">
        <f t="shared" si="15"/>
        <v>0</v>
      </c>
      <c r="AB65" s="106">
        <f t="shared" si="25"/>
        <v>0</v>
      </c>
      <c r="AC65" s="106">
        <f t="shared" si="9"/>
        <v>0</v>
      </c>
      <c r="AD65" s="106">
        <f t="shared" si="10"/>
        <v>0</v>
      </c>
      <c r="AE65" s="106">
        <f t="shared" si="11"/>
        <v>0</v>
      </c>
      <c r="AF65" s="106">
        <f>IF('Simulador CH BX+'!$D$18="Monto de crédito",$F$11*$F$15,AA65*$F$15)</f>
        <v>0</v>
      </c>
      <c r="AG65" s="106">
        <f>IF('Simulador CH BX+'!$D$17="Valor Destructible",IF(M65&gt;$F$8,0,$F$20),IF(M65&gt;$F$8,0,MAX(AA65,$F$10)*$F$19))</f>
        <v>0</v>
      </c>
      <c r="AH65" s="106">
        <f t="shared" si="12"/>
        <v>299</v>
      </c>
      <c r="AI65" s="106">
        <f t="shared" si="13"/>
        <v>299</v>
      </c>
      <c r="AJ65" s="362">
        <f t="shared" si="14"/>
        <v>299</v>
      </c>
    </row>
    <row r="66" spans="1:36" s="2" customFormat="1" ht="13.5" customHeight="1" x14ac:dyDescent="0.35">
      <c r="A66" s="8"/>
      <c r="B66" s="8"/>
      <c r="C66" s="8"/>
      <c r="D66" s="8"/>
      <c r="E66" s="10"/>
      <c r="F66" s="10"/>
      <c r="G66" s="10"/>
      <c r="H66" s="407" t="s">
        <v>183</v>
      </c>
      <c r="I66" s="19">
        <v>0.3</v>
      </c>
      <c r="J66" s="10"/>
      <c r="K66" s="10"/>
      <c r="L66" s="11"/>
      <c r="M66" s="98">
        <v>61</v>
      </c>
      <c r="N66" s="99">
        <f t="shared" ref="N66:N77" si="29">C$24</f>
        <v>9.6500000000000002E-2</v>
      </c>
      <c r="O66" s="100">
        <f t="shared" si="26"/>
        <v>0</v>
      </c>
      <c r="P66" s="101">
        <f t="shared" si="20"/>
        <v>0</v>
      </c>
      <c r="Q66" s="101">
        <f t="shared" si="21"/>
        <v>0</v>
      </c>
      <c r="R66" s="101">
        <f t="shared" si="22"/>
        <v>0</v>
      </c>
      <c r="S66" s="101">
        <f t="shared" si="8"/>
        <v>0</v>
      </c>
      <c r="T66" s="101"/>
      <c r="U66" s="101">
        <f>IF('Simulador CH BX+'!$D$18="Monto de crédito",$F$11*$F$15,O66*$F$15)</f>
        <v>0</v>
      </c>
      <c r="V66" s="101">
        <f>IF('Simulador CH BX+'!$D$17="Valor Destructible",IF(O66-$F$18&lt;0,0,$F$18),IF(M66&gt;$F$8,0,MAX(O66,$F$10)*$F$17))</f>
        <v>0</v>
      </c>
      <c r="W66" s="101">
        <f t="shared" si="23"/>
        <v>0</v>
      </c>
      <c r="X66" s="101">
        <f t="shared" si="24"/>
        <v>0</v>
      </c>
      <c r="Y66" s="102">
        <f>'Simulador CH BX+'!M99</f>
        <v>0</v>
      </c>
      <c r="Z66" s="10"/>
      <c r="AA66" s="149">
        <f t="shared" si="15"/>
        <v>0</v>
      </c>
      <c r="AB66" s="101">
        <f t="shared" si="25"/>
        <v>0</v>
      </c>
      <c r="AC66" s="101">
        <f t="shared" si="9"/>
        <v>0</v>
      </c>
      <c r="AD66" s="101">
        <f t="shared" si="10"/>
        <v>0</v>
      </c>
      <c r="AE66" s="101">
        <f t="shared" si="11"/>
        <v>0</v>
      </c>
      <c r="AF66" s="101">
        <f>IF('Simulador CH BX+'!$D$18="Monto de crédito",$F$11*$F$15,AA66*$F$15)</f>
        <v>0</v>
      </c>
      <c r="AG66" s="101">
        <f>IF('Simulador CH BX+'!$D$17="Valor Destructible",IF(M66&gt;$F$8,0,$F$20),IF(M66&gt;$F$8,0,MAX(AA66,$F$10)*$F$19))</f>
        <v>0</v>
      </c>
      <c r="AH66" s="101">
        <f t="shared" si="12"/>
        <v>299</v>
      </c>
      <c r="AI66" s="101">
        <f t="shared" si="13"/>
        <v>299</v>
      </c>
      <c r="AJ66" s="361">
        <f t="shared" si="14"/>
        <v>299</v>
      </c>
    </row>
    <row r="67" spans="1:36" s="2" customFormat="1" ht="13.5" customHeight="1" x14ac:dyDescent="0.35">
      <c r="A67" s="8"/>
      <c r="B67" s="8"/>
      <c r="C67" s="8"/>
      <c r="D67" s="8"/>
      <c r="E67" s="10"/>
      <c r="F67" s="10"/>
      <c r="G67" s="10"/>
      <c r="H67" s="10"/>
      <c r="I67" s="10"/>
      <c r="J67" s="10"/>
      <c r="K67" s="10"/>
      <c r="L67" s="11"/>
      <c r="M67" s="98">
        <v>62</v>
      </c>
      <c r="N67" s="99">
        <f t="shared" si="29"/>
        <v>9.6500000000000002E-2</v>
      </c>
      <c r="O67" s="100">
        <f t="shared" si="26"/>
        <v>0</v>
      </c>
      <c r="P67" s="101">
        <f t="shared" si="20"/>
        <v>0</v>
      </c>
      <c r="Q67" s="101">
        <f t="shared" si="21"/>
        <v>0</v>
      </c>
      <c r="R67" s="101">
        <f t="shared" si="22"/>
        <v>0</v>
      </c>
      <c r="S67" s="101">
        <f t="shared" si="8"/>
        <v>0</v>
      </c>
      <c r="T67" s="101"/>
      <c r="U67" s="101">
        <f>IF('Simulador CH BX+'!$D$18="Monto de crédito",$F$11*$F$15,O67*$F$15)</f>
        <v>0</v>
      </c>
      <c r="V67" s="101">
        <f>IF('Simulador CH BX+'!$D$17="Valor Destructible",IF(O67-$F$18&lt;0,0,$F$18),IF(M67&gt;$F$8,0,MAX(O67,$F$10)*$F$17))</f>
        <v>0</v>
      </c>
      <c r="W67" s="101">
        <f t="shared" si="23"/>
        <v>0</v>
      </c>
      <c r="X67" s="101">
        <f t="shared" si="24"/>
        <v>0</v>
      </c>
      <c r="Y67" s="102">
        <f>'Simulador CH BX+'!M100</f>
        <v>0</v>
      </c>
      <c r="Z67" s="10"/>
      <c r="AA67" s="149">
        <f t="shared" si="15"/>
        <v>0</v>
      </c>
      <c r="AB67" s="101">
        <f t="shared" si="25"/>
        <v>0</v>
      </c>
      <c r="AC67" s="101">
        <f t="shared" si="9"/>
        <v>0</v>
      </c>
      <c r="AD67" s="101">
        <f t="shared" si="10"/>
        <v>0</v>
      </c>
      <c r="AE67" s="101">
        <f t="shared" si="11"/>
        <v>0</v>
      </c>
      <c r="AF67" s="101">
        <f>IF('Simulador CH BX+'!$D$18="Monto de crédito",$F$11*$F$15,AA67*$F$15)</f>
        <v>0</v>
      </c>
      <c r="AG67" s="101">
        <f>IF('Simulador CH BX+'!$D$17="Valor Destructible",IF(M67&gt;$F$8,0,$F$20),IF(M67&gt;$F$8,0,MAX(AA67,$F$10)*$F$19))</f>
        <v>0</v>
      </c>
      <c r="AH67" s="101">
        <f t="shared" si="12"/>
        <v>299</v>
      </c>
      <c r="AI67" s="101">
        <f t="shared" si="13"/>
        <v>299</v>
      </c>
      <c r="AJ67" s="361">
        <f t="shared" si="14"/>
        <v>299</v>
      </c>
    </row>
    <row r="68" spans="1:36" s="2" customFormat="1" ht="13.5" customHeight="1" x14ac:dyDescent="0.35">
      <c r="A68" s="8"/>
      <c r="B68" s="8"/>
      <c r="C68" s="8"/>
      <c r="D68" s="8"/>
      <c r="E68" s="10"/>
      <c r="F68" s="10"/>
      <c r="G68" s="10"/>
      <c r="H68" s="10" t="s">
        <v>144</v>
      </c>
      <c r="I68" s="405"/>
      <c r="J68" s="10"/>
      <c r="K68" s="10"/>
      <c r="L68" s="11"/>
      <c r="M68" s="98">
        <v>63</v>
      </c>
      <c r="N68" s="99">
        <f t="shared" si="29"/>
        <v>9.6500000000000002E-2</v>
      </c>
      <c r="O68" s="100">
        <f t="shared" si="26"/>
        <v>0</v>
      </c>
      <c r="P68" s="101">
        <f t="shared" si="20"/>
        <v>0</v>
      </c>
      <c r="Q68" s="101">
        <f t="shared" si="21"/>
        <v>0</v>
      </c>
      <c r="R68" s="101">
        <f t="shared" si="22"/>
        <v>0</v>
      </c>
      <c r="S68" s="101">
        <f t="shared" si="8"/>
        <v>0</v>
      </c>
      <c r="T68" s="101"/>
      <c r="U68" s="101">
        <f>IF('Simulador CH BX+'!$D$18="Monto de crédito",$F$11*$F$15,O68*$F$15)</f>
        <v>0</v>
      </c>
      <c r="V68" s="101">
        <f>IF('Simulador CH BX+'!$D$17="Valor Destructible",IF(O68-$F$18&lt;0,0,$F$18),IF(M68&gt;$F$8,0,MAX(O68,$F$10)*$F$17))</f>
        <v>0</v>
      </c>
      <c r="W68" s="101">
        <f t="shared" si="23"/>
        <v>0</v>
      </c>
      <c r="X68" s="101">
        <f t="shared" si="24"/>
        <v>0</v>
      </c>
      <c r="Y68" s="102">
        <f>'Simulador CH BX+'!M101</f>
        <v>0</v>
      </c>
      <c r="Z68" s="10"/>
      <c r="AA68" s="149">
        <f t="shared" si="15"/>
        <v>0</v>
      </c>
      <c r="AB68" s="101">
        <f t="shared" si="25"/>
        <v>0</v>
      </c>
      <c r="AC68" s="101">
        <f t="shared" si="9"/>
        <v>0</v>
      </c>
      <c r="AD68" s="101">
        <f t="shared" si="10"/>
        <v>0</v>
      </c>
      <c r="AE68" s="101">
        <f t="shared" si="11"/>
        <v>0</v>
      </c>
      <c r="AF68" s="101">
        <f>IF('Simulador CH BX+'!$D$18="Monto de crédito",$F$11*$F$15,AA68*$F$15)</f>
        <v>0</v>
      </c>
      <c r="AG68" s="101">
        <f>IF('Simulador CH BX+'!$D$17="Valor Destructible",IF(M68&gt;$F$8,0,$F$20),IF(M68&gt;$F$8,0,MAX(AA68,$F$10)*$F$19))</f>
        <v>0</v>
      </c>
      <c r="AH68" s="101">
        <f t="shared" si="12"/>
        <v>299</v>
      </c>
      <c r="AI68" s="101">
        <f t="shared" si="13"/>
        <v>299</v>
      </c>
      <c r="AJ68" s="361">
        <f t="shared" si="14"/>
        <v>299</v>
      </c>
    </row>
    <row r="69" spans="1:36" s="2" customFormat="1" ht="13.5" customHeight="1" x14ac:dyDescent="0.35">
      <c r="A69" s="8"/>
      <c r="B69" s="8"/>
      <c r="C69" s="8"/>
      <c r="D69" s="8"/>
      <c r="E69" s="10"/>
      <c r="F69" s="10"/>
      <c r="G69" s="10"/>
      <c r="H69" s="408" t="s">
        <v>184</v>
      </c>
      <c r="I69" s="19">
        <v>0.4</v>
      </c>
      <c r="J69" s="359" t="s">
        <v>163</v>
      </c>
      <c r="K69" s="10"/>
      <c r="L69" s="11"/>
      <c r="M69" s="98">
        <v>64</v>
      </c>
      <c r="N69" s="99">
        <f t="shared" si="29"/>
        <v>9.6500000000000002E-2</v>
      </c>
      <c r="O69" s="100">
        <f t="shared" si="26"/>
        <v>0</v>
      </c>
      <c r="P69" s="101">
        <f t="shared" si="20"/>
        <v>0</v>
      </c>
      <c r="Q69" s="101">
        <f t="shared" si="21"/>
        <v>0</v>
      </c>
      <c r="R69" s="101">
        <f t="shared" si="22"/>
        <v>0</v>
      </c>
      <c r="S69" s="101">
        <f t="shared" si="8"/>
        <v>0</v>
      </c>
      <c r="T69" s="101"/>
      <c r="U69" s="101">
        <f>IF('Simulador CH BX+'!$D$18="Monto de crédito",$F$11*$F$15,O69*$F$15)</f>
        <v>0</v>
      </c>
      <c r="V69" s="101">
        <f>IF('Simulador CH BX+'!$D$17="Valor Destructible",IF(O69-$F$18&lt;0,0,$F$18),IF(M69&gt;$F$8,0,MAX(O69,$F$10)*$F$17))</f>
        <v>0</v>
      </c>
      <c r="W69" s="101">
        <f t="shared" si="23"/>
        <v>0</v>
      </c>
      <c r="X69" s="101">
        <f t="shared" si="24"/>
        <v>0</v>
      </c>
      <c r="Y69" s="102">
        <f>'Simulador CH BX+'!M102</f>
        <v>0</v>
      </c>
      <c r="Z69" s="10"/>
      <c r="AA69" s="149">
        <f t="shared" si="15"/>
        <v>0</v>
      </c>
      <c r="AB69" s="101">
        <f t="shared" si="25"/>
        <v>0</v>
      </c>
      <c r="AC69" s="101">
        <f t="shared" si="9"/>
        <v>0</v>
      </c>
      <c r="AD69" s="101">
        <f t="shared" si="10"/>
        <v>0</v>
      </c>
      <c r="AE69" s="101">
        <f t="shared" si="11"/>
        <v>0</v>
      </c>
      <c r="AF69" s="101">
        <f>IF('Simulador CH BX+'!$D$18="Monto de crédito",$F$11*$F$15,AA69*$F$15)</f>
        <v>0</v>
      </c>
      <c r="AG69" s="101">
        <f>IF('Simulador CH BX+'!$D$17="Valor Destructible",IF(M69&gt;$F$8,0,$F$20),IF(M69&gt;$F$8,0,MAX(AA69,$F$10)*$F$19))</f>
        <v>0</v>
      </c>
      <c r="AH69" s="101">
        <f t="shared" si="12"/>
        <v>299</v>
      </c>
      <c r="AI69" s="101">
        <f t="shared" si="13"/>
        <v>299</v>
      </c>
      <c r="AJ69" s="361">
        <f t="shared" si="14"/>
        <v>299</v>
      </c>
    </row>
    <row r="70" spans="1:36" s="2" customFormat="1" ht="13.5" customHeight="1" x14ac:dyDescent="0.35">
      <c r="A70" s="8"/>
      <c r="B70" s="8"/>
      <c r="C70" s="8"/>
      <c r="D70" s="8"/>
      <c r="E70" s="10"/>
      <c r="F70" s="10"/>
      <c r="G70" s="10"/>
      <c r="H70" s="408" t="s">
        <v>185</v>
      </c>
      <c r="I70" s="19">
        <v>0.4</v>
      </c>
      <c r="J70" s="489" t="s">
        <v>164</v>
      </c>
      <c r="K70" s="489"/>
      <c r="L70" s="11"/>
      <c r="M70" s="98">
        <v>65</v>
      </c>
      <c r="N70" s="99">
        <f t="shared" si="29"/>
        <v>9.6500000000000002E-2</v>
      </c>
      <c r="O70" s="100">
        <f t="shared" si="26"/>
        <v>0</v>
      </c>
      <c r="P70" s="101">
        <f t="shared" ref="P70:P101" si="30">O70*(N70/12)</f>
        <v>0</v>
      </c>
      <c r="Q70" s="101">
        <f t="shared" ref="Q70:Q101" si="31">IF(R70-P70&lt;0,O70,R70-P70)</f>
        <v>0</v>
      </c>
      <c r="R70" s="101">
        <f t="shared" ref="R70:R101" si="32">IF(O70-F$14&lt;0,0,F$14)</f>
        <v>0</v>
      </c>
      <c r="S70" s="101">
        <f t="shared" si="8"/>
        <v>0</v>
      </c>
      <c r="T70" s="101"/>
      <c r="U70" s="101">
        <f>IF('Simulador CH BX+'!$D$18="Monto de crédito",$F$11*$F$15,O70*$F$15)</f>
        <v>0</v>
      </c>
      <c r="V70" s="101">
        <f>IF('Simulador CH BX+'!$D$17="Valor Destructible",IF(O70-$F$18&lt;0,0,$F$18),IF(M70&gt;$F$8,0,MAX(O70,$F$10)*$F$17))</f>
        <v>0</v>
      </c>
      <c r="W70" s="101">
        <f t="shared" ref="W70:W101" si="33">IF(O70-F$22&lt;0,0,F$22)</f>
        <v>0</v>
      </c>
      <c r="X70" s="101">
        <f t="shared" ref="X70:X101" si="34">P70+Q70+U70+V70+W70</f>
        <v>0</v>
      </c>
      <c r="Y70" s="102">
        <f>'Simulador CH BX+'!M103</f>
        <v>0</v>
      </c>
      <c r="Z70" s="10"/>
      <c r="AA70" s="149">
        <f t="shared" si="15"/>
        <v>0</v>
      </c>
      <c r="AB70" s="101">
        <f t="shared" ref="AB70:AB101" si="35">AA70*(N70/12)</f>
        <v>0</v>
      </c>
      <c r="AC70" s="101">
        <f t="shared" si="9"/>
        <v>0</v>
      </c>
      <c r="AD70" s="101">
        <f t="shared" si="10"/>
        <v>0</v>
      </c>
      <c r="AE70" s="101">
        <f t="shared" si="11"/>
        <v>0</v>
      </c>
      <c r="AF70" s="101">
        <f>IF('Simulador CH BX+'!$D$18="Monto de crédito",$F$11*$F$15,AA70*$F$15)</f>
        <v>0</v>
      </c>
      <c r="AG70" s="101">
        <f>IF('Simulador CH BX+'!$D$17="Valor Destructible",IF(M70&gt;$F$8,0,$F$20),IF(M70&gt;$F$8,0,MAX(AA70,$F$10)*$F$19))</f>
        <v>0</v>
      </c>
      <c r="AH70" s="101">
        <f t="shared" si="12"/>
        <v>299</v>
      </c>
      <c r="AI70" s="101">
        <f t="shared" si="13"/>
        <v>299</v>
      </c>
      <c r="AJ70" s="361">
        <f t="shared" si="14"/>
        <v>299</v>
      </c>
    </row>
    <row r="71" spans="1:36" s="2" customFormat="1" ht="13.5" customHeight="1" x14ac:dyDescent="0.35">
      <c r="A71" s="8"/>
      <c r="B71" s="8"/>
      <c r="C71" s="8"/>
      <c r="D71" s="8"/>
      <c r="E71" s="10"/>
      <c r="F71" s="10"/>
      <c r="G71" s="10"/>
      <c r="H71" s="408" t="s">
        <v>186</v>
      </c>
      <c r="I71" s="19">
        <v>0.35</v>
      </c>
      <c r="J71" s="490" t="s">
        <v>165</v>
      </c>
      <c r="K71" s="490"/>
      <c r="L71" s="11"/>
      <c r="M71" s="98">
        <v>66</v>
      </c>
      <c r="N71" s="99">
        <f t="shared" si="29"/>
        <v>9.6500000000000002E-2</v>
      </c>
      <c r="O71" s="100">
        <f t="shared" ref="O71:O102" si="36">(O70-Q70)-Y70</f>
        <v>0</v>
      </c>
      <c r="P71" s="101">
        <f t="shared" si="30"/>
        <v>0</v>
      </c>
      <c r="Q71" s="101">
        <f t="shared" si="31"/>
        <v>0</v>
      </c>
      <c r="R71" s="101">
        <f t="shared" si="32"/>
        <v>0</v>
      </c>
      <c r="S71" s="101">
        <f t="shared" ref="S71:S134" si="37">P71+Q71</f>
        <v>0</v>
      </c>
      <c r="T71" s="101"/>
      <c r="U71" s="101">
        <f>IF('Simulador CH BX+'!$D$18="Monto de crédito",$F$11*$F$15,O71*$F$15)</f>
        <v>0</v>
      </c>
      <c r="V71" s="101">
        <f>IF('Simulador CH BX+'!$D$17="Valor Destructible",IF(O71-$F$18&lt;0,0,$F$18),IF(M71&gt;$F$8,0,MAX(O71,$F$10)*$F$17))</f>
        <v>0</v>
      </c>
      <c r="W71" s="101">
        <f t="shared" si="33"/>
        <v>0</v>
      </c>
      <c r="X71" s="101">
        <f t="shared" si="34"/>
        <v>0</v>
      </c>
      <c r="Y71" s="102">
        <f>'Simulador CH BX+'!M104</f>
        <v>0</v>
      </c>
      <c r="Z71" s="10"/>
      <c r="AA71" s="149">
        <f t="shared" si="15"/>
        <v>0</v>
      </c>
      <c r="AB71" s="101">
        <f t="shared" si="35"/>
        <v>0</v>
      </c>
      <c r="AC71" s="101">
        <f t="shared" ref="AC71:AC134" si="38">AD71-AB71</f>
        <v>0</v>
      </c>
      <c r="AD71" s="101">
        <f t="shared" ref="AD71:AD134" si="39">IF(M71&gt;$F$8,0,F$14)</f>
        <v>0</v>
      </c>
      <c r="AE71" s="101">
        <f t="shared" ref="AE71:AE134" si="40">AB71+AC71</f>
        <v>0</v>
      </c>
      <c r="AF71" s="101">
        <f>IF('Simulador CH BX+'!$D$18="Monto de crédito",$F$11*$F$15,AA71*$F$15)</f>
        <v>0</v>
      </c>
      <c r="AG71" s="101">
        <f>IF('Simulador CH BX+'!$D$17="Valor Destructible",IF(M71&gt;$F$8,0,$F$20),IF(M71&gt;$F$8,0,MAX(AA71,$F$10)*$F$19))</f>
        <v>0</v>
      </c>
      <c r="AH71" s="101">
        <f t="shared" ref="AH71:AH134" si="41">IF(M71&gt;$F$8,0,F$21)</f>
        <v>299</v>
      </c>
      <c r="AI71" s="101">
        <f t="shared" ref="AI71:AI134" si="42">IF(M71&gt;$F$8,0,F$14+AH71)</f>
        <v>299</v>
      </c>
      <c r="AJ71" s="361">
        <f t="shared" ref="AJ71:AJ134" si="43">IF(M71&gt;$F$8,0,AC71+AB71+AF71+AG71+AH71)</f>
        <v>299</v>
      </c>
    </row>
    <row r="72" spans="1:36" s="2" customFormat="1" ht="13.5" customHeight="1" x14ac:dyDescent="0.35">
      <c r="A72" s="8"/>
      <c r="B72" s="8"/>
      <c r="C72" s="8"/>
      <c r="D72" s="8"/>
      <c r="E72" s="10"/>
      <c r="F72" s="10"/>
      <c r="G72" s="10"/>
      <c r="H72" s="408" t="s">
        <v>187</v>
      </c>
      <c r="I72" s="19">
        <v>0.3</v>
      </c>
      <c r="J72" s="490"/>
      <c r="K72" s="490"/>
      <c r="L72" s="11"/>
      <c r="M72" s="98">
        <v>67</v>
      </c>
      <c r="N72" s="99">
        <f t="shared" si="29"/>
        <v>9.6500000000000002E-2</v>
      </c>
      <c r="O72" s="100">
        <f t="shared" si="36"/>
        <v>0</v>
      </c>
      <c r="P72" s="101">
        <f t="shared" si="30"/>
        <v>0</v>
      </c>
      <c r="Q72" s="101">
        <f t="shared" si="31"/>
        <v>0</v>
      </c>
      <c r="R72" s="101">
        <f t="shared" si="32"/>
        <v>0</v>
      </c>
      <c r="S72" s="101">
        <f t="shared" si="37"/>
        <v>0</v>
      </c>
      <c r="T72" s="101"/>
      <c r="U72" s="101">
        <f>IF('Simulador CH BX+'!$D$18="Monto de crédito",$F$11*$F$15,O72*$F$15)</f>
        <v>0</v>
      </c>
      <c r="V72" s="101">
        <f>IF('Simulador CH BX+'!$D$17="Valor Destructible",IF(O72-$F$18&lt;0,0,$F$18),IF(M72&gt;$F$8,0,MAX(O72,$F$10)*$F$17))</f>
        <v>0</v>
      </c>
      <c r="W72" s="101">
        <f t="shared" si="33"/>
        <v>0</v>
      </c>
      <c r="X72" s="101">
        <f t="shared" si="34"/>
        <v>0</v>
      </c>
      <c r="Y72" s="102">
        <f>'Simulador CH BX+'!M105</f>
        <v>0</v>
      </c>
      <c r="Z72" s="10"/>
      <c r="AA72" s="149">
        <f t="shared" ref="AA72:AA135" si="44">AA71-AC71</f>
        <v>0</v>
      </c>
      <c r="AB72" s="101">
        <f t="shared" si="35"/>
        <v>0</v>
      </c>
      <c r="AC72" s="101">
        <f t="shared" si="38"/>
        <v>0</v>
      </c>
      <c r="AD72" s="101">
        <f t="shared" si="39"/>
        <v>0</v>
      </c>
      <c r="AE72" s="101">
        <f t="shared" si="40"/>
        <v>0</v>
      </c>
      <c r="AF72" s="101">
        <f>IF('Simulador CH BX+'!$D$18="Monto de crédito",$F$11*$F$15,AA72*$F$15)</f>
        <v>0</v>
      </c>
      <c r="AG72" s="101">
        <f>IF('Simulador CH BX+'!$D$17="Valor Destructible",IF(M72&gt;$F$8,0,$F$20),IF(M72&gt;$F$8,0,MAX(AA72,$F$10)*$F$19))</f>
        <v>0</v>
      </c>
      <c r="AH72" s="101">
        <f t="shared" si="41"/>
        <v>299</v>
      </c>
      <c r="AI72" s="101">
        <f t="shared" si="42"/>
        <v>299</v>
      </c>
      <c r="AJ72" s="361">
        <f t="shared" si="43"/>
        <v>299</v>
      </c>
    </row>
    <row r="73" spans="1:36" s="2" customFormat="1" ht="13.5" customHeight="1" x14ac:dyDescent="0.35">
      <c r="A73" s="8"/>
      <c r="B73" s="8"/>
      <c r="C73" s="8"/>
      <c r="D73" s="8"/>
      <c r="E73" s="10"/>
      <c r="F73" s="10"/>
      <c r="G73" s="10"/>
      <c r="H73" s="408" t="s">
        <v>188</v>
      </c>
      <c r="I73" s="19">
        <v>0.3</v>
      </c>
      <c r="J73" s="10"/>
      <c r="K73" s="10"/>
      <c r="L73" s="11"/>
      <c r="M73" s="98">
        <v>68</v>
      </c>
      <c r="N73" s="99">
        <f t="shared" si="29"/>
        <v>9.6500000000000002E-2</v>
      </c>
      <c r="O73" s="100">
        <f t="shared" si="36"/>
        <v>0</v>
      </c>
      <c r="P73" s="101">
        <f t="shared" si="30"/>
        <v>0</v>
      </c>
      <c r="Q73" s="101">
        <f t="shared" si="31"/>
        <v>0</v>
      </c>
      <c r="R73" s="101">
        <f t="shared" si="32"/>
        <v>0</v>
      </c>
      <c r="S73" s="101">
        <f t="shared" si="37"/>
        <v>0</v>
      </c>
      <c r="T73" s="101"/>
      <c r="U73" s="101">
        <f>IF('Simulador CH BX+'!$D$18="Monto de crédito",$F$11*$F$15,O73*$F$15)</f>
        <v>0</v>
      </c>
      <c r="V73" s="101">
        <f>IF('Simulador CH BX+'!$D$17="Valor Destructible",IF(O73-$F$18&lt;0,0,$F$18),IF(M73&gt;$F$8,0,MAX(O73,$F$10)*$F$17))</f>
        <v>0</v>
      </c>
      <c r="W73" s="101">
        <f t="shared" si="33"/>
        <v>0</v>
      </c>
      <c r="X73" s="101">
        <f t="shared" si="34"/>
        <v>0</v>
      </c>
      <c r="Y73" s="102">
        <f>'Simulador CH BX+'!M106</f>
        <v>0</v>
      </c>
      <c r="Z73" s="10"/>
      <c r="AA73" s="149">
        <f t="shared" si="44"/>
        <v>0</v>
      </c>
      <c r="AB73" s="101">
        <f t="shared" si="35"/>
        <v>0</v>
      </c>
      <c r="AC73" s="101">
        <f t="shared" si="38"/>
        <v>0</v>
      </c>
      <c r="AD73" s="101">
        <f t="shared" si="39"/>
        <v>0</v>
      </c>
      <c r="AE73" s="101">
        <f t="shared" si="40"/>
        <v>0</v>
      </c>
      <c r="AF73" s="101">
        <f>IF('Simulador CH BX+'!$D$18="Monto de crédito",$F$11*$F$15,AA73*$F$15)</f>
        <v>0</v>
      </c>
      <c r="AG73" s="101">
        <f>IF('Simulador CH BX+'!$D$17="Valor Destructible",IF(M73&gt;$F$8,0,$F$20),IF(M73&gt;$F$8,0,MAX(AA73,$F$10)*$F$19))</f>
        <v>0</v>
      </c>
      <c r="AH73" s="101">
        <f t="shared" si="41"/>
        <v>299</v>
      </c>
      <c r="AI73" s="101">
        <f t="shared" si="42"/>
        <v>299</v>
      </c>
      <c r="AJ73" s="361">
        <f t="shared" si="43"/>
        <v>299</v>
      </c>
    </row>
    <row r="74" spans="1:36" s="2" customFormat="1" ht="13.5" customHeight="1" x14ac:dyDescent="0.35">
      <c r="A74" s="8"/>
      <c r="B74" s="8"/>
      <c r="C74" s="8"/>
      <c r="D74" s="8"/>
      <c r="E74" s="10"/>
      <c r="F74" s="10"/>
      <c r="G74" s="10"/>
      <c r="H74" s="10"/>
      <c r="I74" s="10"/>
      <c r="J74" s="10"/>
      <c r="K74" s="10"/>
      <c r="L74" s="11"/>
      <c r="M74" s="98">
        <v>69</v>
      </c>
      <c r="N74" s="99">
        <f t="shared" si="29"/>
        <v>9.6500000000000002E-2</v>
      </c>
      <c r="O74" s="100">
        <f t="shared" si="36"/>
        <v>0</v>
      </c>
      <c r="P74" s="101">
        <f t="shared" si="30"/>
        <v>0</v>
      </c>
      <c r="Q74" s="101">
        <f t="shared" si="31"/>
        <v>0</v>
      </c>
      <c r="R74" s="101">
        <f t="shared" si="32"/>
        <v>0</v>
      </c>
      <c r="S74" s="101">
        <f t="shared" si="37"/>
        <v>0</v>
      </c>
      <c r="T74" s="101"/>
      <c r="U74" s="101">
        <f>IF('Simulador CH BX+'!$D$18="Monto de crédito",$F$11*$F$15,O74*$F$15)</f>
        <v>0</v>
      </c>
      <c r="V74" s="101">
        <f>IF('Simulador CH BX+'!$D$17="Valor Destructible",IF(O74-$F$18&lt;0,0,$F$18),IF(M74&gt;$F$8,0,MAX(O74,$F$10)*$F$17))</f>
        <v>0</v>
      </c>
      <c r="W74" s="101">
        <f t="shared" si="33"/>
        <v>0</v>
      </c>
      <c r="X74" s="101">
        <f t="shared" si="34"/>
        <v>0</v>
      </c>
      <c r="Y74" s="102">
        <f>'Simulador CH BX+'!M107</f>
        <v>0</v>
      </c>
      <c r="Z74" s="10"/>
      <c r="AA74" s="149">
        <f t="shared" si="44"/>
        <v>0</v>
      </c>
      <c r="AB74" s="101">
        <f t="shared" si="35"/>
        <v>0</v>
      </c>
      <c r="AC74" s="101">
        <f t="shared" si="38"/>
        <v>0</v>
      </c>
      <c r="AD74" s="101">
        <f t="shared" si="39"/>
        <v>0</v>
      </c>
      <c r="AE74" s="101">
        <f t="shared" si="40"/>
        <v>0</v>
      </c>
      <c r="AF74" s="101">
        <f>IF('Simulador CH BX+'!$D$18="Monto de crédito",$F$11*$F$15,AA74*$F$15)</f>
        <v>0</v>
      </c>
      <c r="AG74" s="101">
        <f>IF('Simulador CH BX+'!$D$17="Valor Destructible",IF(M74&gt;$F$8,0,$F$20),IF(M74&gt;$F$8,0,MAX(AA74,$F$10)*$F$19))</f>
        <v>0</v>
      </c>
      <c r="AH74" s="101">
        <f t="shared" si="41"/>
        <v>299</v>
      </c>
      <c r="AI74" s="101">
        <f t="shared" si="42"/>
        <v>299</v>
      </c>
      <c r="AJ74" s="361">
        <f t="shared" si="43"/>
        <v>299</v>
      </c>
    </row>
    <row r="75" spans="1:36" s="2" customFormat="1" ht="13.5" customHeight="1" x14ac:dyDescent="0.35">
      <c r="A75" s="10"/>
      <c r="B75" s="8"/>
      <c r="C75" s="8"/>
      <c r="D75" s="8"/>
      <c r="E75" s="10"/>
      <c r="F75" s="10"/>
      <c r="G75" s="10"/>
      <c r="H75" s="10" t="s">
        <v>145</v>
      </c>
      <c r="I75" s="19"/>
      <c r="J75" s="10"/>
      <c r="K75" s="10"/>
      <c r="L75" s="11"/>
      <c r="M75" s="98">
        <v>70</v>
      </c>
      <c r="N75" s="99">
        <f t="shared" si="29"/>
        <v>9.6500000000000002E-2</v>
      </c>
      <c r="O75" s="100">
        <f t="shared" si="36"/>
        <v>0</v>
      </c>
      <c r="P75" s="101">
        <f t="shared" si="30"/>
        <v>0</v>
      </c>
      <c r="Q75" s="101">
        <f t="shared" si="31"/>
        <v>0</v>
      </c>
      <c r="R75" s="101">
        <f t="shared" si="32"/>
        <v>0</v>
      </c>
      <c r="S75" s="101">
        <f t="shared" si="37"/>
        <v>0</v>
      </c>
      <c r="T75" s="101"/>
      <c r="U75" s="101">
        <f>IF('Simulador CH BX+'!$D$18="Monto de crédito",$F$11*$F$15,O75*$F$15)</f>
        <v>0</v>
      </c>
      <c r="V75" s="101">
        <f>IF('Simulador CH BX+'!$D$17="Valor Destructible",IF(O75-$F$18&lt;0,0,$F$18),IF(M75&gt;$F$8,0,MAX(O75,$F$10)*$F$17))</f>
        <v>0</v>
      </c>
      <c r="W75" s="101">
        <f t="shared" si="33"/>
        <v>0</v>
      </c>
      <c r="X75" s="101">
        <f t="shared" si="34"/>
        <v>0</v>
      </c>
      <c r="Y75" s="102">
        <f>'Simulador CH BX+'!M108</f>
        <v>0</v>
      </c>
      <c r="Z75" s="10"/>
      <c r="AA75" s="149">
        <f t="shared" si="44"/>
        <v>0</v>
      </c>
      <c r="AB75" s="101">
        <f t="shared" si="35"/>
        <v>0</v>
      </c>
      <c r="AC75" s="101">
        <f t="shared" si="38"/>
        <v>0</v>
      </c>
      <c r="AD75" s="101">
        <f t="shared" si="39"/>
        <v>0</v>
      </c>
      <c r="AE75" s="101">
        <f t="shared" si="40"/>
        <v>0</v>
      </c>
      <c r="AF75" s="101">
        <f>IF('Simulador CH BX+'!$D$18="Monto de crédito",$F$11*$F$15,AA75*$F$15)</f>
        <v>0</v>
      </c>
      <c r="AG75" s="101">
        <f>IF('Simulador CH BX+'!$D$17="Valor Destructible",IF(M75&gt;$F$8,0,$F$20),IF(M75&gt;$F$8,0,MAX(AA75,$F$10)*$F$19))</f>
        <v>0</v>
      </c>
      <c r="AH75" s="101">
        <f t="shared" si="41"/>
        <v>299</v>
      </c>
      <c r="AI75" s="101">
        <f t="shared" si="42"/>
        <v>299</v>
      </c>
      <c r="AJ75" s="361">
        <f t="shared" si="43"/>
        <v>299</v>
      </c>
    </row>
    <row r="76" spans="1:36" s="2" customFormat="1" ht="13.5" customHeight="1" x14ac:dyDescent="0.3">
      <c r="A76" s="10"/>
      <c r="B76" s="10"/>
      <c r="C76" s="10"/>
      <c r="D76" s="18"/>
      <c r="E76" s="10"/>
      <c r="F76" s="10"/>
      <c r="G76" s="10"/>
      <c r="H76" s="408" t="s">
        <v>189</v>
      </c>
      <c r="I76" s="19">
        <v>0.4</v>
      </c>
      <c r="J76" s="10"/>
      <c r="K76" s="10"/>
      <c r="L76" s="11"/>
      <c r="M76" s="98">
        <v>71</v>
      </c>
      <c r="N76" s="99">
        <f t="shared" si="29"/>
        <v>9.6500000000000002E-2</v>
      </c>
      <c r="O76" s="100">
        <f t="shared" si="36"/>
        <v>0</v>
      </c>
      <c r="P76" s="101">
        <f t="shared" si="30"/>
        <v>0</v>
      </c>
      <c r="Q76" s="101">
        <f t="shared" si="31"/>
        <v>0</v>
      </c>
      <c r="R76" s="101">
        <f t="shared" si="32"/>
        <v>0</v>
      </c>
      <c r="S76" s="101">
        <f t="shared" si="37"/>
        <v>0</v>
      </c>
      <c r="T76" s="101"/>
      <c r="U76" s="101">
        <f>IF('Simulador CH BX+'!$D$18="Monto de crédito",$F$11*$F$15,O76*$F$15)</f>
        <v>0</v>
      </c>
      <c r="V76" s="101">
        <f>IF('Simulador CH BX+'!$D$17="Valor Destructible",IF(O76-$F$18&lt;0,0,$F$18),IF(M76&gt;$F$8,0,MAX(O76,$F$10)*$F$17))</f>
        <v>0</v>
      </c>
      <c r="W76" s="101">
        <f t="shared" si="33"/>
        <v>0</v>
      </c>
      <c r="X76" s="101">
        <f t="shared" si="34"/>
        <v>0</v>
      </c>
      <c r="Y76" s="102">
        <f>'Simulador CH BX+'!M109</f>
        <v>0</v>
      </c>
      <c r="Z76" s="10"/>
      <c r="AA76" s="149">
        <f t="shared" si="44"/>
        <v>0</v>
      </c>
      <c r="AB76" s="101">
        <f t="shared" si="35"/>
        <v>0</v>
      </c>
      <c r="AC76" s="101">
        <f t="shared" si="38"/>
        <v>0</v>
      </c>
      <c r="AD76" s="101">
        <f t="shared" si="39"/>
        <v>0</v>
      </c>
      <c r="AE76" s="101">
        <f t="shared" si="40"/>
        <v>0</v>
      </c>
      <c r="AF76" s="101">
        <f>IF('Simulador CH BX+'!$D$18="Monto de crédito",$F$11*$F$15,AA76*$F$15)</f>
        <v>0</v>
      </c>
      <c r="AG76" s="101">
        <f>IF('Simulador CH BX+'!$D$17="Valor Destructible",IF(M76&gt;$F$8,0,$F$20),IF(M76&gt;$F$8,0,MAX(AA76,$F$10)*$F$19))</f>
        <v>0</v>
      </c>
      <c r="AH76" s="101">
        <f t="shared" si="41"/>
        <v>299</v>
      </c>
      <c r="AI76" s="101">
        <f t="shared" si="42"/>
        <v>299</v>
      </c>
      <c r="AJ76" s="361">
        <f t="shared" si="43"/>
        <v>299</v>
      </c>
    </row>
    <row r="77" spans="1:36" s="2" customFormat="1" ht="13.5" customHeight="1" x14ac:dyDescent="0.3">
      <c r="A77" s="10"/>
      <c r="B77" s="10"/>
      <c r="C77" s="10"/>
      <c r="D77" s="18"/>
      <c r="E77" s="10"/>
      <c r="F77" s="10"/>
      <c r="G77" s="10"/>
      <c r="H77" s="408" t="s">
        <v>190</v>
      </c>
      <c r="I77" s="19">
        <v>0.4</v>
      </c>
      <c r="J77" s="10"/>
      <c r="K77" s="10"/>
      <c r="L77" s="11"/>
      <c r="M77" s="103">
        <v>72</v>
      </c>
      <c r="N77" s="104">
        <f t="shared" si="29"/>
        <v>9.6500000000000002E-2</v>
      </c>
      <c r="O77" s="105">
        <f t="shared" si="36"/>
        <v>0</v>
      </c>
      <c r="P77" s="106">
        <f t="shared" si="30"/>
        <v>0</v>
      </c>
      <c r="Q77" s="106">
        <f t="shared" si="31"/>
        <v>0</v>
      </c>
      <c r="R77" s="106">
        <f t="shared" si="32"/>
        <v>0</v>
      </c>
      <c r="S77" s="106">
        <f t="shared" si="37"/>
        <v>0</v>
      </c>
      <c r="T77" s="106">
        <f>$F$24</f>
        <v>0</v>
      </c>
      <c r="U77" s="106">
        <f>IF('Simulador CH BX+'!$D$18="Monto de crédito",$F$11*$F$15,O77*$F$15)</f>
        <v>0</v>
      </c>
      <c r="V77" s="106">
        <f>IF('Simulador CH BX+'!$D$17="Valor Destructible",IF(O77-$F$18&lt;0,0,$F$18),IF(M77&gt;$F$8,0,MAX(O77,$F$10)*$F$17))</f>
        <v>0</v>
      </c>
      <c r="W77" s="106">
        <f t="shared" si="33"/>
        <v>0</v>
      </c>
      <c r="X77" s="106">
        <f t="shared" si="34"/>
        <v>0</v>
      </c>
      <c r="Y77" s="107">
        <f>'Simulador CH BX+'!M110</f>
        <v>0</v>
      </c>
      <c r="Z77" s="10"/>
      <c r="AA77" s="150">
        <f t="shared" si="44"/>
        <v>0</v>
      </c>
      <c r="AB77" s="106">
        <f t="shared" si="35"/>
        <v>0</v>
      </c>
      <c r="AC77" s="106">
        <f t="shared" si="38"/>
        <v>0</v>
      </c>
      <c r="AD77" s="106">
        <f t="shared" si="39"/>
        <v>0</v>
      </c>
      <c r="AE77" s="106">
        <f t="shared" si="40"/>
        <v>0</v>
      </c>
      <c r="AF77" s="106">
        <f>IF('Simulador CH BX+'!$D$18="Monto de crédito",$F$11*$F$15,AA77*$F$15)</f>
        <v>0</v>
      </c>
      <c r="AG77" s="106">
        <f>IF('Simulador CH BX+'!$D$17="Valor Destructible",IF(M77&gt;$F$8,0,$F$20),IF(M77&gt;$F$8,0,MAX(AA77,$F$10)*$F$19))</f>
        <v>0</v>
      </c>
      <c r="AH77" s="106">
        <f t="shared" si="41"/>
        <v>299</v>
      </c>
      <c r="AI77" s="106">
        <f t="shared" si="42"/>
        <v>299</v>
      </c>
      <c r="AJ77" s="362">
        <f t="shared" si="43"/>
        <v>299</v>
      </c>
    </row>
    <row r="78" spans="1:36" s="2" customFormat="1" ht="13.5" customHeight="1" x14ac:dyDescent="0.3">
      <c r="A78" s="10"/>
      <c r="B78" s="10"/>
      <c r="C78" s="10"/>
      <c r="D78" s="18"/>
      <c r="E78" s="10"/>
      <c r="F78" s="10"/>
      <c r="G78" s="10"/>
      <c r="H78" s="408" t="s">
        <v>191</v>
      </c>
      <c r="I78" s="19">
        <v>0.35</v>
      </c>
      <c r="J78" s="10"/>
      <c r="K78" s="10"/>
      <c r="L78" s="11"/>
      <c r="M78" s="98">
        <v>73</v>
      </c>
      <c r="N78" s="99">
        <f t="shared" ref="N78:N89" si="45">C$25</f>
        <v>9.6500000000000002E-2</v>
      </c>
      <c r="O78" s="100">
        <f t="shared" si="36"/>
        <v>0</v>
      </c>
      <c r="P78" s="101">
        <f t="shared" si="30"/>
        <v>0</v>
      </c>
      <c r="Q78" s="101">
        <f t="shared" si="31"/>
        <v>0</v>
      </c>
      <c r="R78" s="101">
        <f t="shared" si="32"/>
        <v>0</v>
      </c>
      <c r="S78" s="101">
        <f t="shared" si="37"/>
        <v>0</v>
      </c>
      <c r="T78" s="101"/>
      <c r="U78" s="101">
        <f>IF('Simulador CH BX+'!$D$18="Monto de crédito",$F$11*$F$15,O78*$F$15)</f>
        <v>0</v>
      </c>
      <c r="V78" s="101">
        <f>IF('Simulador CH BX+'!$D$17="Valor Destructible",IF(O78-$F$18&lt;0,0,$F$18),IF(M78&gt;$F$8,0,MAX(O78,$F$10)*$F$17))</f>
        <v>0</v>
      </c>
      <c r="W78" s="101">
        <f t="shared" si="33"/>
        <v>0</v>
      </c>
      <c r="X78" s="101">
        <f t="shared" si="34"/>
        <v>0</v>
      </c>
      <c r="Y78" s="102">
        <f>'Simulador CH BX+'!M111</f>
        <v>0</v>
      </c>
      <c r="Z78" s="10"/>
      <c r="AA78" s="149">
        <f t="shared" si="44"/>
        <v>0</v>
      </c>
      <c r="AB78" s="101">
        <f t="shared" si="35"/>
        <v>0</v>
      </c>
      <c r="AC78" s="101">
        <f t="shared" si="38"/>
        <v>0</v>
      </c>
      <c r="AD78" s="101">
        <f t="shared" si="39"/>
        <v>0</v>
      </c>
      <c r="AE78" s="101">
        <f t="shared" si="40"/>
        <v>0</v>
      </c>
      <c r="AF78" s="101">
        <f>IF('Simulador CH BX+'!$D$18="Monto de crédito",$F$11*$F$15,AA78*$F$15)</f>
        <v>0</v>
      </c>
      <c r="AG78" s="101">
        <f>IF('Simulador CH BX+'!$D$17="Valor Destructible",IF(M78&gt;$F$8,0,$F$20),IF(M78&gt;$F$8,0,MAX(AA78,$F$10)*$F$19))</f>
        <v>0</v>
      </c>
      <c r="AH78" s="101">
        <f t="shared" si="41"/>
        <v>299</v>
      </c>
      <c r="AI78" s="101">
        <f t="shared" si="42"/>
        <v>299</v>
      </c>
      <c r="AJ78" s="361">
        <f t="shared" si="43"/>
        <v>299</v>
      </c>
    </row>
    <row r="79" spans="1:36" s="2" customFormat="1" ht="13.5" customHeight="1" x14ac:dyDescent="0.3">
      <c r="A79" s="10"/>
      <c r="B79" s="10"/>
      <c r="C79" s="10"/>
      <c r="D79" s="18"/>
      <c r="E79" s="10"/>
      <c r="F79" s="10"/>
      <c r="G79" s="10"/>
      <c r="H79" s="408" t="s">
        <v>192</v>
      </c>
      <c r="I79" s="19">
        <v>0.3</v>
      </c>
      <c r="J79" s="10"/>
      <c r="K79" s="10"/>
      <c r="L79" s="11"/>
      <c r="M79" s="98">
        <v>74</v>
      </c>
      <c r="N79" s="99">
        <f t="shared" si="45"/>
        <v>9.6500000000000002E-2</v>
      </c>
      <c r="O79" s="100">
        <f t="shared" si="36"/>
        <v>0</v>
      </c>
      <c r="P79" s="101">
        <f t="shared" si="30"/>
        <v>0</v>
      </c>
      <c r="Q79" s="101">
        <f t="shared" si="31"/>
        <v>0</v>
      </c>
      <c r="R79" s="101">
        <f t="shared" si="32"/>
        <v>0</v>
      </c>
      <c r="S79" s="101">
        <f t="shared" si="37"/>
        <v>0</v>
      </c>
      <c r="T79" s="101"/>
      <c r="U79" s="101">
        <f>IF('Simulador CH BX+'!$D$18="Monto de crédito",$F$11*$F$15,O79*$F$15)</f>
        <v>0</v>
      </c>
      <c r="V79" s="101">
        <f>IF('Simulador CH BX+'!$D$17="Valor Destructible",IF(O79-$F$18&lt;0,0,$F$18),IF(M79&gt;$F$8,0,MAX(O79,$F$10)*$F$17))</f>
        <v>0</v>
      </c>
      <c r="W79" s="101">
        <f t="shared" si="33"/>
        <v>0</v>
      </c>
      <c r="X79" s="101">
        <f t="shared" si="34"/>
        <v>0</v>
      </c>
      <c r="Y79" s="102">
        <f>'Simulador CH BX+'!M112</f>
        <v>0</v>
      </c>
      <c r="Z79" s="10"/>
      <c r="AA79" s="149">
        <f t="shared" si="44"/>
        <v>0</v>
      </c>
      <c r="AB79" s="101">
        <f t="shared" si="35"/>
        <v>0</v>
      </c>
      <c r="AC79" s="101">
        <f t="shared" si="38"/>
        <v>0</v>
      </c>
      <c r="AD79" s="101">
        <f t="shared" si="39"/>
        <v>0</v>
      </c>
      <c r="AE79" s="101">
        <f t="shared" si="40"/>
        <v>0</v>
      </c>
      <c r="AF79" s="101">
        <f>IF('Simulador CH BX+'!$D$18="Monto de crédito",$F$11*$F$15,AA79*$F$15)</f>
        <v>0</v>
      </c>
      <c r="AG79" s="101">
        <f>IF('Simulador CH BX+'!$D$17="Valor Destructible",IF(M79&gt;$F$8,0,$F$20),IF(M79&gt;$F$8,0,MAX(AA79,$F$10)*$F$19))</f>
        <v>0</v>
      </c>
      <c r="AH79" s="101">
        <f t="shared" si="41"/>
        <v>299</v>
      </c>
      <c r="AI79" s="101">
        <f t="shared" si="42"/>
        <v>299</v>
      </c>
      <c r="AJ79" s="361">
        <f t="shared" si="43"/>
        <v>299</v>
      </c>
    </row>
    <row r="80" spans="1:36" s="2" customFormat="1" ht="13.5" customHeight="1" x14ac:dyDescent="0.3">
      <c r="A80" s="10"/>
      <c r="B80" s="10"/>
      <c r="C80" s="10"/>
      <c r="D80" s="18"/>
      <c r="E80" s="10"/>
      <c r="F80" s="10"/>
      <c r="G80" s="10"/>
      <c r="H80" s="408" t="s">
        <v>193</v>
      </c>
      <c r="I80" s="19">
        <v>0.3</v>
      </c>
      <c r="J80" s="10"/>
      <c r="K80" s="10"/>
      <c r="L80" s="11"/>
      <c r="M80" s="98">
        <v>75</v>
      </c>
      <c r="N80" s="99">
        <f t="shared" si="45"/>
        <v>9.6500000000000002E-2</v>
      </c>
      <c r="O80" s="100">
        <f t="shared" si="36"/>
        <v>0</v>
      </c>
      <c r="P80" s="101">
        <f t="shared" si="30"/>
        <v>0</v>
      </c>
      <c r="Q80" s="101">
        <f t="shared" si="31"/>
        <v>0</v>
      </c>
      <c r="R80" s="101">
        <f t="shared" si="32"/>
        <v>0</v>
      </c>
      <c r="S80" s="101">
        <f t="shared" si="37"/>
        <v>0</v>
      </c>
      <c r="T80" s="101"/>
      <c r="U80" s="101">
        <f>IF('Simulador CH BX+'!$D$18="Monto de crédito",$F$11*$F$15,O80*$F$15)</f>
        <v>0</v>
      </c>
      <c r="V80" s="101">
        <f>IF('Simulador CH BX+'!$D$17="Valor Destructible",IF(O80-$F$18&lt;0,0,$F$18),IF(M80&gt;$F$8,0,MAX(O80,$F$10)*$F$17))</f>
        <v>0</v>
      </c>
      <c r="W80" s="101">
        <f t="shared" si="33"/>
        <v>0</v>
      </c>
      <c r="X80" s="101">
        <f t="shared" si="34"/>
        <v>0</v>
      </c>
      <c r="Y80" s="102">
        <f>'Simulador CH BX+'!M113</f>
        <v>0</v>
      </c>
      <c r="Z80" s="10"/>
      <c r="AA80" s="149">
        <f t="shared" si="44"/>
        <v>0</v>
      </c>
      <c r="AB80" s="101">
        <f t="shared" si="35"/>
        <v>0</v>
      </c>
      <c r="AC80" s="101">
        <f t="shared" si="38"/>
        <v>0</v>
      </c>
      <c r="AD80" s="101">
        <f t="shared" si="39"/>
        <v>0</v>
      </c>
      <c r="AE80" s="101">
        <f t="shared" si="40"/>
        <v>0</v>
      </c>
      <c r="AF80" s="101">
        <f>IF('Simulador CH BX+'!$D$18="Monto de crédito",$F$11*$F$15,AA80*$F$15)</f>
        <v>0</v>
      </c>
      <c r="AG80" s="101">
        <f>IF('Simulador CH BX+'!$D$17="Valor Destructible",IF(M80&gt;$F$8,0,$F$20),IF(M80&gt;$F$8,0,MAX(AA80,$F$10)*$F$19))</f>
        <v>0</v>
      </c>
      <c r="AH80" s="101">
        <f t="shared" si="41"/>
        <v>299</v>
      </c>
      <c r="AI80" s="101">
        <f t="shared" si="42"/>
        <v>299</v>
      </c>
      <c r="AJ80" s="361">
        <f t="shared" si="43"/>
        <v>299</v>
      </c>
    </row>
    <row r="81" spans="1:36" s="2" customFormat="1" ht="13.5" customHeight="1" x14ac:dyDescent="0.3">
      <c r="A81" s="10"/>
      <c r="B81" s="10"/>
      <c r="C81" s="10"/>
      <c r="D81" s="18"/>
      <c r="E81" s="10"/>
      <c r="F81" s="10"/>
      <c r="G81" s="10"/>
      <c r="H81" s="408" t="s">
        <v>194</v>
      </c>
      <c r="I81" s="19">
        <v>1.3</v>
      </c>
      <c r="J81" s="10"/>
      <c r="K81" s="10"/>
      <c r="L81" s="11"/>
      <c r="M81" s="98">
        <v>76</v>
      </c>
      <c r="N81" s="99">
        <f t="shared" si="45"/>
        <v>9.6500000000000002E-2</v>
      </c>
      <c r="O81" s="100">
        <f t="shared" si="36"/>
        <v>0</v>
      </c>
      <c r="P81" s="101">
        <f t="shared" si="30"/>
        <v>0</v>
      </c>
      <c r="Q81" s="101">
        <f t="shared" si="31"/>
        <v>0</v>
      </c>
      <c r="R81" s="101">
        <f t="shared" si="32"/>
        <v>0</v>
      </c>
      <c r="S81" s="101">
        <f t="shared" si="37"/>
        <v>0</v>
      </c>
      <c r="T81" s="101"/>
      <c r="U81" s="101">
        <f>IF('Simulador CH BX+'!$D$18="Monto de crédito",$F$11*$F$15,O81*$F$15)</f>
        <v>0</v>
      </c>
      <c r="V81" s="101">
        <f>IF('Simulador CH BX+'!$D$17="Valor Destructible",IF(O81-$F$18&lt;0,0,$F$18),IF(M81&gt;$F$8,0,MAX(O81,$F$10)*$F$17))</f>
        <v>0</v>
      </c>
      <c r="W81" s="101">
        <f t="shared" si="33"/>
        <v>0</v>
      </c>
      <c r="X81" s="101">
        <f t="shared" si="34"/>
        <v>0</v>
      </c>
      <c r="Y81" s="102">
        <f>'Simulador CH BX+'!M114</f>
        <v>0</v>
      </c>
      <c r="Z81" s="10"/>
      <c r="AA81" s="149">
        <f t="shared" si="44"/>
        <v>0</v>
      </c>
      <c r="AB81" s="101">
        <f t="shared" si="35"/>
        <v>0</v>
      </c>
      <c r="AC81" s="101">
        <f t="shared" si="38"/>
        <v>0</v>
      </c>
      <c r="AD81" s="101">
        <f t="shared" si="39"/>
        <v>0</v>
      </c>
      <c r="AE81" s="101">
        <f t="shared" si="40"/>
        <v>0</v>
      </c>
      <c r="AF81" s="101">
        <f>IF('Simulador CH BX+'!$D$18="Monto de crédito",$F$11*$F$15,AA81*$F$15)</f>
        <v>0</v>
      </c>
      <c r="AG81" s="101">
        <f>IF('Simulador CH BX+'!$D$17="Valor Destructible",IF(M81&gt;$F$8,0,$F$20),IF(M81&gt;$F$8,0,MAX(AA81,$F$10)*$F$19))</f>
        <v>0</v>
      </c>
      <c r="AH81" s="101">
        <f t="shared" si="41"/>
        <v>299</v>
      </c>
      <c r="AI81" s="101">
        <f t="shared" si="42"/>
        <v>299</v>
      </c>
      <c r="AJ81" s="361">
        <f t="shared" si="43"/>
        <v>299</v>
      </c>
    </row>
    <row r="82" spans="1:36" s="2" customFormat="1" ht="13.5" customHeight="1" x14ac:dyDescent="0.3">
      <c r="A82" s="10"/>
      <c r="B82" s="10"/>
      <c r="C82" s="10"/>
      <c r="D82" s="18"/>
      <c r="E82" s="10"/>
      <c r="F82" s="10"/>
      <c r="G82" s="10"/>
      <c r="H82" s="408"/>
      <c r="I82" s="19"/>
      <c r="J82" s="10"/>
      <c r="K82" s="10"/>
      <c r="L82" s="11"/>
      <c r="M82" s="98">
        <v>77</v>
      </c>
      <c r="N82" s="99">
        <f t="shared" si="45"/>
        <v>9.6500000000000002E-2</v>
      </c>
      <c r="O82" s="100">
        <f t="shared" si="36"/>
        <v>0</v>
      </c>
      <c r="P82" s="101">
        <f t="shared" si="30"/>
        <v>0</v>
      </c>
      <c r="Q82" s="101">
        <f t="shared" si="31"/>
        <v>0</v>
      </c>
      <c r="R82" s="101">
        <f t="shared" si="32"/>
        <v>0</v>
      </c>
      <c r="S82" s="101">
        <f t="shared" si="37"/>
        <v>0</v>
      </c>
      <c r="T82" s="101"/>
      <c r="U82" s="101">
        <f>IF('Simulador CH BX+'!$D$18="Monto de crédito",$F$11*$F$15,O82*$F$15)</f>
        <v>0</v>
      </c>
      <c r="V82" s="101">
        <f>IF('Simulador CH BX+'!$D$17="Valor Destructible",IF(O82-$F$18&lt;0,0,$F$18),IF(M82&gt;$F$8,0,MAX(O82,$F$10)*$F$17))</f>
        <v>0</v>
      </c>
      <c r="W82" s="101">
        <f t="shared" si="33"/>
        <v>0</v>
      </c>
      <c r="X82" s="101">
        <f t="shared" si="34"/>
        <v>0</v>
      </c>
      <c r="Y82" s="102">
        <f>'Simulador CH BX+'!M115</f>
        <v>0</v>
      </c>
      <c r="Z82" s="10"/>
      <c r="AA82" s="149">
        <f t="shared" si="44"/>
        <v>0</v>
      </c>
      <c r="AB82" s="101">
        <f t="shared" si="35"/>
        <v>0</v>
      </c>
      <c r="AC82" s="101">
        <f t="shared" si="38"/>
        <v>0</v>
      </c>
      <c r="AD82" s="101">
        <f t="shared" si="39"/>
        <v>0</v>
      </c>
      <c r="AE82" s="101">
        <f t="shared" si="40"/>
        <v>0</v>
      </c>
      <c r="AF82" s="101">
        <f>IF('Simulador CH BX+'!$D$18="Monto de crédito",$F$11*$F$15,AA82*$F$15)</f>
        <v>0</v>
      </c>
      <c r="AG82" s="101">
        <f>IF('Simulador CH BX+'!$D$17="Valor Destructible",IF(M82&gt;$F$8,0,$F$20),IF(M82&gt;$F$8,0,MAX(AA82,$F$10)*$F$19))</f>
        <v>0</v>
      </c>
      <c r="AH82" s="101">
        <f t="shared" si="41"/>
        <v>299</v>
      </c>
      <c r="AI82" s="101">
        <f t="shared" si="42"/>
        <v>299</v>
      </c>
      <c r="AJ82" s="361">
        <f t="shared" si="43"/>
        <v>299</v>
      </c>
    </row>
    <row r="83" spans="1:36" s="2" customFormat="1" ht="13.5" customHeight="1" x14ac:dyDescent="0.25">
      <c r="A83" s="10"/>
      <c r="B83" s="10"/>
      <c r="C83" s="10"/>
      <c r="D83" s="18"/>
      <c r="E83" s="10"/>
      <c r="F83" s="10"/>
      <c r="G83" s="10"/>
      <c r="H83" s="10" t="s">
        <v>173</v>
      </c>
      <c r="I83" s="19"/>
      <c r="J83" s="10"/>
      <c r="K83" s="10"/>
      <c r="L83" s="11"/>
      <c r="M83" s="98">
        <v>78</v>
      </c>
      <c r="N83" s="99">
        <f t="shared" si="45"/>
        <v>9.6500000000000002E-2</v>
      </c>
      <c r="O83" s="100">
        <f t="shared" si="36"/>
        <v>0</v>
      </c>
      <c r="P83" s="101">
        <f t="shared" si="30"/>
        <v>0</v>
      </c>
      <c r="Q83" s="101">
        <f t="shared" si="31"/>
        <v>0</v>
      </c>
      <c r="R83" s="101">
        <f t="shared" si="32"/>
        <v>0</v>
      </c>
      <c r="S83" s="101">
        <f t="shared" si="37"/>
        <v>0</v>
      </c>
      <c r="T83" s="101"/>
      <c r="U83" s="101">
        <f>IF('Simulador CH BX+'!$D$18="Monto de crédito",$F$11*$F$15,O83*$F$15)</f>
        <v>0</v>
      </c>
      <c r="V83" s="101">
        <f>IF('Simulador CH BX+'!$D$17="Valor Destructible",IF(O83-$F$18&lt;0,0,$F$18),IF(M83&gt;$F$8,0,MAX(O83,$F$10)*$F$17))</f>
        <v>0</v>
      </c>
      <c r="W83" s="101">
        <f t="shared" si="33"/>
        <v>0</v>
      </c>
      <c r="X83" s="101">
        <f t="shared" si="34"/>
        <v>0</v>
      </c>
      <c r="Y83" s="102">
        <f>'Simulador CH BX+'!M116</f>
        <v>0</v>
      </c>
      <c r="Z83" s="10"/>
      <c r="AA83" s="149">
        <f t="shared" si="44"/>
        <v>0</v>
      </c>
      <c r="AB83" s="101">
        <f t="shared" si="35"/>
        <v>0</v>
      </c>
      <c r="AC83" s="101">
        <f t="shared" si="38"/>
        <v>0</v>
      </c>
      <c r="AD83" s="101">
        <f t="shared" si="39"/>
        <v>0</v>
      </c>
      <c r="AE83" s="101">
        <f t="shared" si="40"/>
        <v>0</v>
      </c>
      <c r="AF83" s="101">
        <f>IF('Simulador CH BX+'!$D$18="Monto de crédito",$F$11*$F$15,AA83*$F$15)</f>
        <v>0</v>
      </c>
      <c r="AG83" s="101">
        <f>IF('Simulador CH BX+'!$D$17="Valor Destructible",IF(M83&gt;$F$8,0,$F$20),IF(M83&gt;$F$8,0,MAX(AA83,$F$10)*$F$19))</f>
        <v>0</v>
      </c>
      <c r="AH83" s="101">
        <f t="shared" si="41"/>
        <v>299</v>
      </c>
      <c r="AI83" s="101">
        <f t="shared" si="42"/>
        <v>299</v>
      </c>
      <c r="AJ83" s="361">
        <f t="shared" si="43"/>
        <v>299</v>
      </c>
    </row>
    <row r="84" spans="1:36" s="2" customFormat="1" ht="13.5" customHeight="1" x14ac:dyDescent="0.3">
      <c r="A84" s="10"/>
      <c r="B84" s="10"/>
      <c r="C84" s="10"/>
      <c r="D84" s="18"/>
      <c r="E84" s="10"/>
      <c r="F84" s="10"/>
      <c r="G84" s="10"/>
      <c r="H84" s="408" t="s">
        <v>195</v>
      </c>
      <c r="I84" s="19">
        <v>0.4</v>
      </c>
      <c r="J84" s="10"/>
      <c r="K84" s="10"/>
      <c r="L84" s="11"/>
      <c r="M84" s="98">
        <v>79</v>
      </c>
      <c r="N84" s="99">
        <f t="shared" si="45"/>
        <v>9.6500000000000002E-2</v>
      </c>
      <c r="O84" s="100">
        <f t="shared" si="36"/>
        <v>0</v>
      </c>
      <c r="P84" s="101">
        <f t="shared" si="30"/>
        <v>0</v>
      </c>
      <c r="Q84" s="101">
        <f t="shared" si="31"/>
        <v>0</v>
      </c>
      <c r="R84" s="101">
        <f t="shared" si="32"/>
        <v>0</v>
      </c>
      <c r="S84" s="101">
        <f t="shared" si="37"/>
        <v>0</v>
      </c>
      <c r="T84" s="101"/>
      <c r="U84" s="101">
        <f>IF('Simulador CH BX+'!$D$18="Monto de crédito",$F$11*$F$15,O84*$F$15)</f>
        <v>0</v>
      </c>
      <c r="V84" s="101">
        <f>IF('Simulador CH BX+'!$D$17="Valor Destructible",IF(O84-$F$18&lt;0,0,$F$18),IF(M84&gt;$F$8,0,MAX(O84,$F$10)*$F$17))</f>
        <v>0</v>
      </c>
      <c r="W84" s="101">
        <f t="shared" si="33"/>
        <v>0</v>
      </c>
      <c r="X84" s="101">
        <f t="shared" si="34"/>
        <v>0</v>
      </c>
      <c r="Y84" s="102">
        <f>'Simulador CH BX+'!M117</f>
        <v>0</v>
      </c>
      <c r="Z84" s="10"/>
      <c r="AA84" s="149">
        <f t="shared" si="44"/>
        <v>0</v>
      </c>
      <c r="AB84" s="101">
        <f t="shared" si="35"/>
        <v>0</v>
      </c>
      <c r="AC84" s="101">
        <f t="shared" si="38"/>
        <v>0</v>
      </c>
      <c r="AD84" s="101">
        <f t="shared" si="39"/>
        <v>0</v>
      </c>
      <c r="AE84" s="101">
        <f t="shared" si="40"/>
        <v>0</v>
      </c>
      <c r="AF84" s="101">
        <f>IF('Simulador CH BX+'!$D$18="Monto de crédito",$F$11*$F$15,AA84*$F$15)</f>
        <v>0</v>
      </c>
      <c r="AG84" s="101">
        <f>IF('Simulador CH BX+'!$D$17="Valor Destructible",IF(M84&gt;$F$8,0,$F$20),IF(M84&gt;$F$8,0,MAX(AA84,$F$10)*$F$19))</f>
        <v>0</v>
      </c>
      <c r="AH84" s="101">
        <f t="shared" si="41"/>
        <v>299</v>
      </c>
      <c r="AI84" s="101">
        <f t="shared" si="42"/>
        <v>299</v>
      </c>
      <c r="AJ84" s="361">
        <f t="shared" si="43"/>
        <v>299</v>
      </c>
    </row>
    <row r="85" spans="1:36" s="2" customFormat="1" ht="13.5" customHeight="1" x14ac:dyDescent="0.3">
      <c r="A85" s="10"/>
      <c r="B85" s="10"/>
      <c r="C85" s="10"/>
      <c r="D85" s="18"/>
      <c r="E85" s="10"/>
      <c r="F85" s="10"/>
      <c r="G85" s="10"/>
      <c r="H85" s="408" t="s">
        <v>196</v>
      </c>
      <c r="I85" s="19">
        <v>0.4</v>
      </c>
      <c r="J85" s="10"/>
      <c r="K85" s="10"/>
      <c r="L85" s="11"/>
      <c r="M85" s="98">
        <v>80</v>
      </c>
      <c r="N85" s="99">
        <f t="shared" si="45"/>
        <v>9.6500000000000002E-2</v>
      </c>
      <c r="O85" s="100">
        <f t="shared" si="36"/>
        <v>0</v>
      </c>
      <c r="P85" s="101">
        <f t="shared" si="30"/>
        <v>0</v>
      </c>
      <c r="Q85" s="101">
        <f t="shared" si="31"/>
        <v>0</v>
      </c>
      <c r="R85" s="101">
        <f t="shared" si="32"/>
        <v>0</v>
      </c>
      <c r="S85" s="101">
        <f t="shared" si="37"/>
        <v>0</v>
      </c>
      <c r="T85" s="101"/>
      <c r="U85" s="101">
        <f>IF('Simulador CH BX+'!$D$18="Monto de crédito",$F$11*$F$15,O85*$F$15)</f>
        <v>0</v>
      </c>
      <c r="V85" s="101">
        <f>IF('Simulador CH BX+'!$D$17="Valor Destructible",IF(O85-$F$18&lt;0,0,$F$18),IF(M85&gt;$F$8,0,MAX(O85,$F$10)*$F$17))</f>
        <v>0</v>
      </c>
      <c r="W85" s="101">
        <f t="shared" si="33"/>
        <v>0</v>
      </c>
      <c r="X85" s="101">
        <f t="shared" si="34"/>
        <v>0</v>
      </c>
      <c r="Y85" s="102">
        <f>'Simulador CH BX+'!M118</f>
        <v>0</v>
      </c>
      <c r="Z85" s="10"/>
      <c r="AA85" s="149">
        <f t="shared" si="44"/>
        <v>0</v>
      </c>
      <c r="AB85" s="101">
        <f t="shared" si="35"/>
        <v>0</v>
      </c>
      <c r="AC85" s="101">
        <f t="shared" si="38"/>
        <v>0</v>
      </c>
      <c r="AD85" s="101">
        <f t="shared" si="39"/>
        <v>0</v>
      </c>
      <c r="AE85" s="101">
        <f t="shared" si="40"/>
        <v>0</v>
      </c>
      <c r="AF85" s="101">
        <f>IF('Simulador CH BX+'!$D$18="Monto de crédito",$F$11*$F$15,AA85*$F$15)</f>
        <v>0</v>
      </c>
      <c r="AG85" s="101">
        <f>IF('Simulador CH BX+'!$D$17="Valor Destructible",IF(M85&gt;$F$8,0,$F$20),IF(M85&gt;$F$8,0,MAX(AA85,$F$10)*$F$19))</f>
        <v>0</v>
      </c>
      <c r="AH85" s="101">
        <f t="shared" si="41"/>
        <v>299</v>
      </c>
      <c r="AI85" s="101">
        <f t="shared" si="42"/>
        <v>299</v>
      </c>
      <c r="AJ85" s="361">
        <f t="shared" si="43"/>
        <v>299</v>
      </c>
    </row>
    <row r="86" spans="1:36" s="2" customFormat="1" ht="13.5" customHeight="1" x14ac:dyDescent="0.3">
      <c r="A86" s="10"/>
      <c r="B86" s="10"/>
      <c r="C86" s="10"/>
      <c r="D86" s="18"/>
      <c r="E86" s="10"/>
      <c r="F86" s="10"/>
      <c r="G86" s="10"/>
      <c r="H86" s="408" t="s">
        <v>197</v>
      </c>
      <c r="I86" s="19">
        <v>0.35</v>
      </c>
      <c r="J86" s="10"/>
      <c r="K86" s="10"/>
      <c r="L86" s="11"/>
      <c r="M86" s="98">
        <v>81</v>
      </c>
      <c r="N86" s="99">
        <f t="shared" si="45"/>
        <v>9.6500000000000002E-2</v>
      </c>
      <c r="O86" s="100">
        <f t="shared" si="36"/>
        <v>0</v>
      </c>
      <c r="P86" s="101">
        <f t="shared" si="30"/>
        <v>0</v>
      </c>
      <c r="Q86" s="101">
        <f t="shared" si="31"/>
        <v>0</v>
      </c>
      <c r="R86" s="101">
        <f t="shared" si="32"/>
        <v>0</v>
      </c>
      <c r="S86" s="101">
        <f t="shared" si="37"/>
        <v>0</v>
      </c>
      <c r="T86" s="101"/>
      <c r="U86" s="101">
        <f>IF('Simulador CH BX+'!$D$18="Monto de crédito",$F$11*$F$15,O86*$F$15)</f>
        <v>0</v>
      </c>
      <c r="V86" s="101">
        <f>IF('Simulador CH BX+'!$D$17="Valor Destructible",IF(O86-$F$18&lt;0,0,$F$18),IF(M86&gt;$F$8,0,MAX(O86,$F$10)*$F$17))</f>
        <v>0</v>
      </c>
      <c r="W86" s="101">
        <f t="shared" si="33"/>
        <v>0</v>
      </c>
      <c r="X86" s="101">
        <f t="shared" si="34"/>
        <v>0</v>
      </c>
      <c r="Y86" s="102">
        <f>'Simulador CH BX+'!M119</f>
        <v>0</v>
      </c>
      <c r="Z86" s="10"/>
      <c r="AA86" s="149">
        <f t="shared" si="44"/>
        <v>0</v>
      </c>
      <c r="AB86" s="101">
        <f t="shared" si="35"/>
        <v>0</v>
      </c>
      <c r="AC86" s="101">
        <f t="shared" si="38"/>
        <v>0</v>
      </c>
      <c r="AD86" s="101">
        <f t="shared" si="39"/>
        <v>0</v>
      </c>
      <c r="AE86" s="101">
        <f t="shared" si="40"/>
        <v>0</v>
      </c>
      <c r="AF86" s="101">
        <f>IF('Simulador CH BX+'!$D$18="Monto de crédito",$F$11*$F$15,AA86*$F$15)</f>
        <v>0</v>
      </c>
      <c r="AG86" s="101">
        <f>IF('Simulador CH BX+'!$D$17="Valor Destructible",IF(M86&gt;$F$8,0,$F$20),IF(M86&gt;$F$8,0,MAX(AA86,$F$10)*$F$19))</f>
        <v>0</v>
      </c>
      <c r="AH86" s="101">
        <f t="shared" si="41"/>
        <v>299</v>
      </c>
      <c r="AI86" s="101">
        <f t="shared" si="42"/>
        <v>299</v>
      </c>
      <c r="AJ86" s="361">
        <f t="shared" si="43"/>
        <v>299</v>
      </c>
    </row>
    <row r="87" spans="1:36" s="2" customFormat="1" ht="13.5" customHeight="1" x14ac:dyDescent="0.3">
      <c r="A87" s="10"/>
      <c r="B87" s="10"/>
      <c r="C87" s="10"/>
      <c r="D87" s="18"/>
      <c r="E87" s="10"/>
      <c r="F87" s="10"/>
      <c r="G87" s="10"/>
      <c r="H87" s="408" t="s">
        <v>198</v>
      </c>
      <c r="I87" s="19">
        <v>0.35</v>
      </c>
      <c r="J87" s="10"/>
      <c r="K87" s="10"/>
      <c r="L87" s="11"/>
      <c r="M87" s="98">
        <v>82</v>
      </c>
      <c r="N87" s="99">
        <f t="shared" si="45"/>
        <v>9.6500000000000002E-2</v>
      </c>
      <c r="O87" s="100">
        <f t="shared" si="36"/>
        <v>0</v>
      </c>
      <c r="P87" s="101">
        <f t="shared" si="30"/>
        <v>0</v>
      </c>
      <c r="Q87" s="101">
        <f t="shared" si="31"/>
        <v>0</v>
      </c>
      <c r="R87" s="101">
        <f t="shared" si="32"/>
        <v>0</v>
      </c>
      <c r="S87" s="101">
        <f t="shared" si="37"/>
        <v>0</v>
      </c>
      <c r="T87" s="101"/>
      <c r="U87" s="101">
        <f>IF('Simulador CH BX+'!$D$18="Monto de crédito",$F$11*$F$15,O87*$F$15)</f>
        <v>0</v>
      </c>
      <c r="V87" s="101">
        <f>IF('Simulador CH BX+'!$D$17="Valor Destructible",IF(O87-$F$18&lt;0,0,$F$18),IF(M87&gt;$F$8,0,MAX(O87,$F$10)*$F$17))</f>
        <v>0</v>
      </c>
      <c r="W87" s="101">
        <f t="shared" si="33"/>
        <v>0</v>
      </c>
      <c r="X87" s="101">
        <f t="shared" si="34"/>
        <v>0</v>
      </c>
      <c r="Y87" s="102">
        <f>'Simulador CH BX+'!M120</f>
        <v>0</v>
      </c>
      <c r="Z87" s="10"/>
      <c r="AA87" s="149">
        <f t="shared" si="44"/>
        <v>0</v>
      </c>
      <c r="AB87" s="101">
        <f t="shared" si="35"/>
        <v>0</v>
      </c>
      <c r="AC87" s="101">
        <f t="shared" si="38"/>
        <v>0</v>
      </c>
      <c r="AD87" s="101">
        <f t="shared" si="39"/>
        <v>0</v>
      </c>
      <c r="AE87" s="101">
        <f t="shared" si="40"/>
        <v>0</v>
      </c>
      <c r="AF87" s="101">
        <f>IF('Simulador CH BX+'!$D$18="Monto de crédito",$F$11*$F$15,AA87*$F$15)</f>
        <v>0</v>
      </c>
      <c r="AG87" s="101">
        <f>IF('Simulador CH BX+'!$D$17="Valor Destructible",IF(M87&gt;$F$8,0,$F$20),IF(M87&gt;$F$8,0,MAX(AA87,$F$10)*$F$19))</f>
        <v>0</v>
      </c>
      <c r="AH87" s="101">
        <f t="shared" si="41"/>
        <v>299</v>
      </c>
      <c r="AI87" s="101">
        <f t="shared" si="42"/>
        <v>299</v>
      </c>
      <c r="AJ87" s="361">
        <f t="shared" si="43"/>
        <v>299</v>
      </c>
    </row>
    <row r="88" spans="1:36" s="2" customFormat="1" ht="13.5" customHeight="1" thickBot="1" x14ac:dyDescent="0.3">
      <c r="A88" s="10"/>
      <c r="B88" s="10"/>
      <c r="C88" s="10"/>
      <c r="D88" s="18"/>
      <c r="E88" s="10"/>
      <c r="F88" s="10"/>
      <c r="G88" s="10"/>
      <c r="H88" s="10"/>
      <c r="I88" s="10"/>
      <c r="J88" s="10"/>
      <c r="K88" s="10"/>
      <c r="L88" s="11"/>
      <c r="M88" s="98">
        <v>83</v>
      </c>
      <c r="N88" s="99">
        <f t="shared" si="45"/>
        <v>9.6500000000000002E-2</v>
      </c>
      <c r="O88" s="100">
        <f t="shared" si="36"/>
        <v>0</v>
      </c>
      <c r="P88" s="101">
        <f t="shared" si="30"/>
        <v>0</v>
      </c>
      <c r="Q88" s="101">
        <f t="shared" si="31"/>
        <v>0</v>
      </c>
      <c r="R88" s="101">
        <f t="shared" si="32"/>
        <v>0</v>
      </c>
      <c r="S88" s="101">
        <f t="shared" si="37"/>
        <v>0</v>
      </c>
      <c r="T88" s="101"/>
      <c r="U88" s="101">
        <f>IF('Simulador CH BX+'!$D$18="Monto de crédito",$F$11*$F$15,O88*$F$15)</f>
        <v>0</v>
      </c>
      <c r="V88" s="101">
        <f>IF('Simulador CH BX+'!$D$17="Valor Destructible",IF(O88-$F$18&lt;0,0,$F$18),IF(M88&gt;$F$8,0,MAX(O88,$F$10)*$F$17))</f>
        <v>0</v>
      </c>
      <c r="W88" s="101">
        <f t="shared" si="33"/>
        <v>0</v>
      </c>
      <c r="X88" s="101">
        <f t="shared" si="34"/>
        <v>0</v>
      </c>
      <c r="Y88" s="102">
        <f>'Simulador CH BX+'!M121</f>
        <v>0</v>
      </c>
      <c r="Z88" s="10"/>
      <c r="AA88" s="149">
        <f t="shared" si="44"/>
        <v>0</v>
      </c>
      <c r="AB88" s="101">
        <f t="shared" si="35"/>
        <v>0</v>
      </c>
      <c r="AC88" s="101">
        <f t="shared" si="38"/>
        <v>0</v>
      </c>
      <c r="AD88" s="101">
        <f t="shared" si="39"/>
        <v>0</v>
      </c>
      <c r="AE88" s="101">
        <f t="shared" si="40"/>
        <v>0</v>
      </c>
      <c r="AF88" s="101">
        <f>IF('Simulador CH BX+'!$D$18="Monto de crédito",$F$11*$F$15,AA88*$F$15)</f>
        <v>0</v>
      </c>
      <c r="AG88" s="101">
        <f>IF('Simulador CH BX+'!$D$17="Valor Destructible",IF(M88&gt;$F$8,0,$F$20),IF(M88&gt;$F$8,0,MAX(AA88,$F$10)*$F$19))</f>
        <v>0</v>
      </c>
      <c r="AH88" s="101">
        <f t="shared" si="41"/>
        <v>299</v>
      </c>
      <c r="AI88" s="101">
        <f t="shared" si="42"/>
        <v>299</v>
      </c>
      <c r="AJ88" s="361">
        <f t="shared" si="43"/>
        <v>299</v>
      </c>
    </row>
    <row r="89" spans="1:36" s="2" customFormat="1" ht="13.5" customHeight="1" x14ac:dyDescent="0.25">
      <c r="A89" s="10"/>
      <c r="B89" s="10"/>
      <c r="C89" s="10"/>
      <c r="D89" s="18"/>
      <c r="E89" s="10"/>
      <c r="F89" s="10"/>
      <c r="G89" s="10"/>
      <c r="H89" s="392" t="s">
        <v>174</v>
      </c>
      <c r="I89" s="393">
        <v>0.3</v>
      </c>
      <c r="J89" s="10"/>
      <c r="K89" s="10"/>
      <c r="L89" s="11"/>
      <c r="M89" s="103">
        <v>84</v>
      </c>
      <c r="N89" s="104">
        <f t="shared" si="45"/>
        <v>9.6500000000000002E-2</v>
      </c>
      <c r="O89" s="105">
        <f t="shared" si="36"/>
        <v>0</v>
      </c>
      <c r="P89" s="106">
        <f t="shared" si="30"/>
        <v>0</v>
      </c>
      <c r="Q89" s="106">
        <f t="shared" si="31"/>
        <v>0</v>
      </c>
      <c r="R89" s="106">
        <f t="shared" si="32"/>
        <v>0</v>
      </c>
      <c r="S89" s="106">
        <f t="shared" si="37"/>
        <v>0</v>
      </c>
      <c r="T89" s="106">
        <f>$F$24</f>
        <v>0</v>
      </c>
      <c r="U89" s="106">
        <f>IF('Simulador CH BX+'!$D$18="Monto de crédito",$F$11*$F$15,O89*$F$15)</f>
        <v>0</v>
      </c>
      <c r="V89" s="106">
        <f>IF('Simulador CH BX+'!$D$17="Valor Destructible",IF(O89-$F$18&lt;0,0,$F$18),IF(M89&gt;$F$8,0,MAX(O89,$F$10)*$F$17))</f>
        <v>0</v>
      </c>
      <c r="W89" s="106">
        <f t="shared" si="33"/>
        <v>0</v>
      </c>
      <c r="X89" s="106">
        <f t="shared" si="34"/>
        <v>0</v>
      </c>
      <c r="Y89" s="107">
        <f>'Simulador CH BX+'!M122</f>
        <v>0</v>
      </c>
      <c r="Z89" s="10"/>
      <c r="AA89" s="150">
        <f t="shared" si="44"/>
        <v>0</v>
      </c>
      <c r="AB89" s="106">
        <f t="shared" si="35"/>
        <v>0</v>
      </c>
      <c r="AC89" s="106">
        <f t="shared" si="38"/>
        <v>0</v>
      </c>
      <c r="AD89" s="106">
        <f t="shared" si="39"/>
        <v>0</v>
      </c>
      <c r="AE89" s="106">
        <f t="shared" si="40"/>
        <v>0</v>
      </c>
      <c r="AF89" s="106">
        <f>IF('Simulador CH BX+'!$D$18="Monto de crédito",$F$11*$F$15,AA89*$F$15)</f>
        <v>0</v>
      </c>
      <c r="AG89" s="106">
        <f>IF('Simulador CH BX+'!$D$17="Valor Destructible",IF(M89&gt;$F$8,0,$F$20),IF(M89&gt;$F$8,0,MAX(AA89,$F$10)*$F$19))</f>
        <v>0</v>
      </c>
      <c r="AH89" s="106">
        <f t="shared" si="41"/>
        <v>299</v>
      </c>
      <c r="AI89" s="106">
        <f t="shared" si="42"/>
        <v>299</v>
      </c>
      <c r="AJ89" s="362">
        <f t="shared" si="43"/>
        <v>299</v>
      </c>
    </row>
    <row r="90" spans="1:36" s="2" customFormat="1" ht="13.5" customHeight="1" x14ac:dyDescent="0.25">
      <c r="A90" s="10"/>
      <c r="B90" s="10"/>
      <c r="C90" s="10"/>
      <c r="D90" s="18"/>
      <c r="E90" s="10"/>
      <c r="F90" s="10"/>
      <c r="G90" s="10"/>
      <c r="H90" s="394" t="s">
        <v>175</v>
      </c>
      <c r="I90" s="395">
        <v>0.4</v>
      </c>
      <c r="J90" s="10"/>
      <c r="K90" s="10"/>
      <c r="L90" s="11"/>
      <c r="M90" s="98">
        <v>85</v>
      </c>
      <c r="N90" s="99">
        <f t="shared" ref="N90:N101" si="46">C$26</f>
        <v>9.6500000000000002E-2</v>
      </c>
      <c r="O90" s="100">
        <f t="shared" si="36"/>
        <v>0</v>
      </c>
      <c r="P90" s="101">
        <f t="shared" si="30"/>
        <v>0</v>
      </c>
      <c r="Q90" s="101">
        <f t="shared" si="31"/>
        <v>0</v>
      </c>
      <c r="R90" s="101">
        <f t="shared" si="32"/>
        <v>0</v>
      </c>
      <c r="S90" s="101">
        <f t="shared" si="37"/>
        <v>0</v>
      </c>
      <c r="T90" s="101"/>
      <c r="U90" s="101">
        <f>IF('Simulador CH BX+'!$D$18="Monto de crédito",$F$11*$F$15,O90*$F$15)</f>
        <v>0</v>
      </c>
      <c r="V90" s="101">
        <f>IF('Simulador CH BX+'!$D$17="Valor Destructible",IF(O90-$F$18&lt;0,0,$F$18),IF(M90&gt;$F$8,0,MAX(O90,$F$10)*$F$17))</f>
        <v>0</v>
      </c>
      <c r="W90" s="101">
        <f t="shared" si="33"/>
        <v>0</v>
      </c>
      <c r="X90" s="101">
        <f t="shared" si="34"/>
        <v>0</v>
      </c>
      <c r="Y90" s="102">
        <f>'Simulador CH BX+'!M123</f>
        <v>0</v>
      </c>
      <c r="Z90" s="10"/>
      <c r="AA90" s="149">
        <f t="shared" si="44"/>
        <v>0</v>
      </c>
      <c r="AB90" s="101">
        <f t="shared" si="35"/>
        <v>0</v>
      </c>
      <c r="AC90" s="101">
        <f t="shared" si="38"/>
        <v>0</v>
      </c>
      <c r="AD90" s="101">
        <f t="shared" si="39"/>
        <v>0</v>
      </c>
      <c r="AE90" s="101">
        <f t="shared" si="40"/>
        <v>0</v>
      </c>
      <c r="AF90" s="101">
        <f>IF('Simulador CH BX+'!$D$18="Monto de crédito",$F$11*$F$15,AA90*$F$15)</f>
        <v>0</v>
      </c>
      <c r="AG90" s="101">
        <f>IF('Simulador CH BX+'!$D$17="Valor Destructible",IF(M90&gt;$F$8,0,$F$20),IF(M90&gt;$F$8,0,MAX(AA90,$F$10)*$F$19))</f>
        <v>0</v>
      </c>
      <c r="AH90" s="101">
        <f t="shared" si="41"/>
        <v>299</v>
      </c>
      <c r="AI90" s="101">
        <f t="shared" si="42"/>
        <v>299</v>
      </c>
      <c r="AJ90" s="361">
        <f t="shared" si="43"/>
        <v>299</v>
      </c>
    </row>
    <row r="91" spans="1:36" s="2" customFormat="1" ht="13.5" customHeight="1" thickBot="1" x14ac:dyDescent="0.3">
      <c r="A91" s="10"/>
      <c r="B91" s="10"/>
      <c r="C91" s="10"/>
      <c r="D91" s="18"/>
      <c r="E91" s="10"/>
      <c r="F91" s="10"/>
      <c r="G91" s="10"/>
      <c r="H91" s="396" t="s">
        <v>176</v>
      </c>
      <c r="I91" s="397">
        <v>0.35</v>
      </c>
      <c r="J91" s="10"/>
      <c r="K91" s="10"/>
      <c r="L91" s="11"/>
      <c r="M91" s="98">
        <v>86</v>
      </c>
      <c r="N91" s="99">
        <f t="shared" si="46"/>
        <v>9.6500000000000002E-2</v>
      </c>
      <c r="O91" s="100">
        <f t="shared" si="36"/>
        <v>0</v>
      </c>
      <c r="P91" s="101">
        <f t="shared" si="30"/>
        <v>0</v>
      </c>
      <c r="Q91" s="101">
        <f t="shared" si="31"/>
        <v>0</v>
      </c>
      <c r="R91" s="101">
        <f t="shared" si="32"/>
        <v>0</v>
      </c>
      <c r="S91" s="101">
        <f t="shared" si="37"/>
        <v>0</v>
      </c>
      <c r="T91" s="101"/>
      <c r="U91" s="101">
        <f>IF('Simulador CH BX+'!$D$18="Monto de crédito",$F$11*$F$15,O91*$F$15)</f>
        <v>0</v>
      </c>
      <c r="V91" s="101">
        <f>IF('Simulador CH BX+'!$D$17="Valor Destructible",IF(O91-$F$18&lt;0,0,$F$18),IF(M91&gt;$F$8,0,MAX(O91,$F$10)*$F$17))</f>
        <v>0</v>
      </c>
      <c r="W91" s="101">
        <f t="shared" si="33"/>
        <v>0</v>
      </c>
      <c r="X91" s="101">
        <f t="shared" si="34"/>
        <v>0</v>
      </c>
      <c r="Y91" s="102">
        <f>'Simulador CH BX+'!M124</f>
        <v>0</v>
      </c>
      <c r="Z91" s="10"/>
      <c r="AA91" s="149">
        <f t="shared" si="44"/>
        <v>0</v>
      </c>
      <c r="AB91" s="101">
        <f t="shared" si="35"/>
        <v>0</v>
      </c>
      <c r="AC91" s="101">
        <f t="shared" si="38"/>
        <v>0</v>
      </c>
      <c r="AD91" s="101">
        <f t="shared" si="39"/>
        <v>0</v>
      </c>
      <c r="AE91" s="101">
        <f t="shared" si="40"/>
        <v>0</v>
      </c>
      <c r="AF91" s="101">
        <f>IF('Simulador CH BX+'!$D$18="Monto de crédito",$F$11*$F$15,AA91*$F$15)</f>
        <v>0</v>
      </c>
      <c r="AG91" s="101">
        <f>IF('Simulador CH BX+'!$D$17="Valor Destructible",IF(M91&gt;$F$8,0,$F$20),IF(M91&gt;$F$8,0,MAX(AA91,$F$10)*$F$19))</f>
        <v>0</v>
      </c>
      <c r="AH91" s="101">
        <f t="shared" si="41"/>
        <v>299</v>
      </c>
      <c r="AI91" s="101">
        <f t="shared" si="42"/>
        <v>299</v>
      </c>
      <c r="AJ91" s="361">
        <f t="shared" si="43"/>
        <v>299</v>
      </c>
    </row>
    <row r="92" spans="1:36" s="2" customFormat="1" ht="13.5" customHeight="1" x14ac:dyDescent="0.25">
      <c r="A92" s="10"/>
      <c r="B92" s="10"/>
      <c r="C92" s="10"/>
      <c r="D92" s="18"/>
      <c r="E92" s="10"/>
      <c r="F92" s="10"/>
      <c r="G92" s="10"/>
      <c r="H92" s="10"/>
      <c r="I92" s="10"/>
      <c r="J92" s="10"/>
      <c r="K92" s="10"/>
      <c r="L92" s="11"/>
      <c r="M92" s="98">
        <v>87</v>
      </c>
      <c r="N92" s="99">
        <f t="shared" si="46"/>
        <v>9.6500000000000002E-2</v>
      </c>
      <c r="O92" s="100">
        <f t="shared" si="36"/>
        <v>0</v>
      </c>
      <c r="P92" s="101">
        <f t="shared" si="30"/>
        <v>0</v>
      </c>
      <c r="Q92" s="101">
        <f t="shared" si="31"/>
        <v>0</v>
      </c>
      <c r="R92" s="101">
        <f t="shared" si="32"/>
        <v>0</v>
      </c>
      <c r="S92" s="101">
        <f t="shared" si="37"/>
        <v>0</v>
      </c>
      <c r="T92" s="101"/>
      <c r="U92" s="101">
        <f>IF('Simulador CH BX+'!$D$18="Monto de crédito",$F$11*$F$15,O92*$F$15)</f>
        <v>0</v>
      </c>
      <c r="V92" s="101">
        <f>IF('Simulador CH BX+'!$D$17="Valor Destructible",IF(O92-$F$18&lt;0,0,$F$18),IF(M92&gt;$F$8,0,MAX(O92,$F$10)*$F$17))</f>
        <v>0</v>
      </c>
      <c r="W92" s="101">
        <f t="shared" si="33"/>
        <v>0</v>
      </c>
      <c r="X92" s="101">
        <f t="shared" si="34"/>
        <v>0</v>
      </c>
      <c r="Y92" s="102">
        <f>'Simulador CH BX+'!M125</f>
        <v>0</v>
      </c>
      <c r="Z92" s="10"/>
      <c r="AA92" s="149">
        <f t="shared" si="44"/>
        <v>0</v>
      </c>
      <c r="AB92" s="101">
        <f t="shared" si="35"/>
        <v>0</v>
      </c>
      <c r="AC92" s="101">
        <f t="shared" si="38"/>
        <v>0</v>
      </c>
      <c r="AD92" s="101">
        <f t="shared" si="39"/>
        <v>0</v>
      </c>
      <c r="AE92" s="101">
        <f t="shared" si="40"/>
        <v>0</v>
      </c>
      <c r="AF92" s="101">
        <f>IF('Simulador CH BX+'!$D$18="Monto de crédito",$F$11*$F$15,AA92*$F$15)</f>
        <v>0</v>
      </c>
      <c r="AG92" s="101">
        <f>IF('Simulador CH BX+'!$D$17="Valor Destructible",IF(M92&gt;$F$8,0,$F$20),IF(M92&gt;$F$8,0,MAX(AA92,$F$10)*$F$19))</f>
        <v>0</v>
      </c>
      <c r="AH92" s="101">
        <f t="shared" si="41"/>
        <v>299</v>
      </c>
      <c r="AI92" s="101">
        <f t="shared" si="42"/>
        <v>299</v>
      </c>
      <c r="AJ92" s="361">
        <f t="shared" si="43"/>
        <v>299</v>
      </c>
    </row>
    <row r="93" spans="1:36" s="2" customFormat="1" ht="13.5" customHeight="1" x14ac:dyDescent="0.25">
      <c r="A93" s="10"/>
      <c r="B93" s="10"/>
      <c r="C93" s="10"/>
      <c r="D93" s="18"/>
      <c r="E93" s="10"/>
      <c r="F93" s="10"/>
      <c r="G93" s="10"/>
      <c r="H93" s="10"/>
      <c r="I93" s="10"/>
      <c r="J93" s="10"/>
      <c r="K93" s="10"/>
      <c r="L93" s="11"/>
      <c r="M93" s="98">
        <v>88</v>
      </c>
      <c r="N93" s="99">
        <f t="shared" si="46"/>
        <v>9.6500000000000002E-2</v>
      </c>
      <c r="O93" s="100">
        <f t="shared" si="36"/>
        <v>0</v>
      </c>
      <c r="P93" s="101">
        <f t="shared" si="30"/>
        <v>0</v>
      </c>
      <c r="Q93" s="101">
        <f t="shared" si="31"/>
        <v>0</v>
      </c>
      <c r="R93" s="101">
        <f t="shared" si="32"/>
        <v>0</v>
      </c>
      <c r="S93" s="101">
        <f t="shared" si="37"/>
        <v>0</v>
      </c>
      <c r="T93" s="101"/>
      <c r="U93" s="101">
        <f>IF('Simulador CH BX+'!$D$18="Monto de crédito",$F$11*$F$15,O93*$F$15)</f>
        <v>0</v>
      </c>
      <c r="V93" s="101">
        <f>IF('Simulador CH BX+'!$D$17="Valor Destructible",IF(O93-$F$18&lt;0,0,$F$18),IF(M93&gt;$F$8,0,MAX(O93,$F$10)*$F$17))</f>
        <v>0</v>
      </c>
      <c r="W93" s="101">
        <f t="shared" si="33"/>
        <v>0</v>
      </c>
      <c r="X93" s="101">
        <f t="shared" si="34"/>
        <v>0</v>
      </c>
      <c r="Y93" s="102">
        <f>'Simulador CH BX+'!M126</f>
        <v>0</v>
      </c>
      <c r="Z93" s="10"/>
      <c r="AA93" s="149">
        <f t="shared" si="44"/>
        <v>0</v>
      </c>
      <c r="AB93" s="101">
        <f t="shared" si="35"/>
        <v>0</v>
      </c>
      <c r="AC93" s="101">
        <f t="shared" si="38"/>
        <v>0</v>
      </c>
      <c r="AD93" s="101">
        <f t="shared" si="39"/>
        <v>0</v>
      </c>
      <c r="AE93" s="101">
        <f t="shared" si="40"/>
        <v>0</v>
      </c>
      <c r="AF93" s="101">
        <f>IF('Simulador CH BX+'!$D$18="Monto de crédito",$F$11*$F$15,AA93*$F$15)</f>
        <v>0</v>
      </c>
      <c r="AG93" s="101">
        <f>IF('Simulador CH BX+'!$D$17="Valor Destructible",IF(M93&gt;$F$8,0,$F$20),IF(M93&gt;$F$8,0,MAX(AA93,$F$10)*$F$19))</f>
        <v>0</v>
      </c>
      <c r="AH93" s="101">
        <f t="shared" si="41"/>
        <v>299</v>
      </c>
      <c r="AI93" s="101">
        <f t="shared" si="42"/>
        <v>299</v>
      </c>
      <c r="AJ93" s="361">
        <f t="shared" si="43"/>
        <v>299</v>
      </c>
    </row>
    <row r="94" spans="1:36" s="2" customFormat="1" ht="13.5" customHeight="1" x14ac:dyDescent="0.25">
      <c r="A94" s="10"/>
      <c r="B94" s="10"/>
      <c r="C94" s="10"/>
      <c r="D94" s="18"/>
      <c r="E94" s="10"/>
      <c r="F94" s="10"/>
      <c r="G94" s="10"/>
      <c r="H94" s="10"/>
      <c r="I94" s="10"/>
      <c r="J94" s="10"/>
      <c r="K94" s="10"/>
      <c r="L94" s="11"/>
      <c r="M94" s="98">
        <v>89</v>
      </c>
      <c r="N94" s="99">
        <f t="shared" si="46"/>
        <v>9.6500000000000002E-2</v>
      </c>
      <c r="O94" s="100">
        <f t="shared" si="36"/>
        <v>0</v>
      </c>
      <c r="P94" s="101">
        <f t="shared" si="30"/>
        <v>0</v>
      </c>
      <c r="Q94" s="101">
        <f t="shared" si="31"/>
        <v>0</v>
      </c>
      <c r="R94" s="101">
        <f t="shared" si="32"/>
        <v>0</v>
      </c>
      <c r="S94" s="101">
        <f t="shared" si="37"/>
        <v>0</v>
      </c>
      <c r="T94" s="101"/>
      <c r="U94" s="101">
        <f>IF('Simulador CH BX+'!$D$18="Monto de crédito",$F$11*$F$15,O94*$F$15)</f>
        <v>0</v>
      </c>
      <c r="V94" s="101">
        <f>IF('Simulador CH BX+'!$D$17="Valor Destructible",IF(O94-$F$18&lt;0,0,$F$18),IF(M94&gt;$F$8,0,MAX(O94,$F$10)*$F$17))</f>
        <v>0</v>
      </c>
      <c r="W94" s="101">
        <f t="shared" si="33"/>
        <v>0</v>
      </c>
      <c r="X94" s="101">
        <f t="shared" si="34"/>
        <v>0</v>
      </c>
      <c r="Y94" s="102">
        <f>'Simulador CH BX+'!M127</f>
        <v>0</v>
      </c>
      <c r="Z94" s="10"/>
      <c r="AA94" s="149">
        <f t="shared" si="44"/>
        <v>0</v>
      </c>
      <c r="AB94" s="101">
        <f t="shared" si="35"/>
        <v>0</v>
      </c>
      <c r="AC94" s="101">
        <f t="shared" si="38"/>
        <v>0</v>
      </c>
      <c r="AD94" s="101">
        <f t="shared" si="39"/>
        <v>0</v>
      </c>
      <c r="AE94" s="101">
        <f t="shared" si="40"/>
        <v>0</v>
      </c>
      <c r="AF94" s="101">
        <f>IF('Simulador CH BX+'!$D$18="Monto de crédito",$F$11*$F$15,AA94*$F$15)</f>
        <v>0</v>
      </c>
      <c r="AG94" s="101">
        <f>IF('Simulador CH BX+'!$D$17="Valor Destructible",IF(M94&gt;$F$8,0,$F$20),IF(M94&gt;$F$8,0,MAX(AA94,$F$10)*$F$19))</f>
        <v>0</v>
      </c>
      <c r="AH94" s="101">
        <f t="shared" si="41"/>
        <v>299</v>
      </c>
      <c r="AI94" s="101">
        <f t="shared" si="42"/>
        <v>299</v>
      </c>
      <c r="AJ94" s="361">
        <f t="shared" si="43"/>
        <v>299</v>
      </c>
    </row>
    <row r="95" spans="1:36" s="2" customFormat="1" ht="13.5" customHeight="1" x14ac:dyDescent="0.25">
      <c r="A95" s="10"/>
      <c r="B95" s="10"/>
      <c r="C95" s="10"/>
      <c r="D95" s="18"/>
      <c r="E95" s="10"/>
      <c r="F95" s="10"/>
      <c r="G95" s="10"/>
      <c r="H95" s="10"/>
      <c r="I95" s="10"/>
      <c r="J95" s="10"/>
      <c r="K95" s="10"/>
      <c r="L95" s="11"/>
      <c r="M95" s="98">
        <v>90</v>
      </c>
      <c r="N95" s="99">
        <f t="shared" si="46"/>
        <v>9.6500000000000002E-2</v>
      </c>
      <c r="O95" s="100">
        <f t="shared" si="36"/>
        <v>0</v>
      </c>
      <c r="P95" s="101">
        <f t="shared" si="30"/>
        <v>0</v>
      </c>
      <c r="Q95" s="101">
        <f t="shared" si="31"/>
        <v>0</v>
      </c>
      <c r="R95" s="101">
        <f t="shared" si="32"/>
        <v>0</v>
      </c>
      <c r="S95" s="101">
        <f t="shared" si="37"/>
        <v>0</v>
      </c>
      <c r="T95" s="101"/>
      <c r="U95" s="101">
        <f>IF('Simulador CH BX+'!$D$18="Monto de crédito",$F$11*$F$15,O95*$F$15)</f>
        <v>0</v>
      </c>
      <c r="V95" s="101">
        <f>IF('Simulador CH BX+'!$D$17="Valor Destructible",IF(O95-$F$18&lt;0,0,$F$18),IF(M95&gt;$F$8,0,MAX(O95,$F$10)*$F$17))</f>
        <v>0</v>
      </c>
      <c r="W95" s="101">
        <f t="shared" si="33"/>
        <v>0</v>
      </c>
      <c r="X95" s="101">
        <f t="shared" si="34"/>
        <v>0</v>
      </c>
      <c r="Y95" s="102">
        <f>'Simulador CH BX+'!M128</f>
        <v>0</v>
      </c>
      <c r="Z95" s="10"/>
      <c r="AA95" s="149">
        <f t="shared" si="44"/>
        <v>0</v>
      </c>
      <c r="AB95" s="101">
        <f t="shared" si="35"/>
        <v>0</v>
      </c>
      <c r="AC95" s="101">
        <f t="shared" si="38"/>
        <v>0</v>
      </c>
      <c r="AD95" s="101">
        <f t="shared" si="39"/>
        <v>0</v>
      </c>
      <c r="AE95" s="101">
        <f t="shared" si="40"/>
        <v>0</v>
      </c>
      <c r="AF95" s="101">
        <f>IF('Simulador CH BX+'!$D$18="Monto de crédito",$F$11*$F$15,AA95*$F$15)</f>
        <v>0</v>
      </c>
      <c r="AG95" s="101">
        <f>IF('Simulador CH BX+'!$D$17="Valor Destructible",IF(M95&gt;$F$8,0,$F$20),IF(M95&gt;$F$8,0,MAX(AA95,$F$10)*$F$19))</f>
        <v>0</v>
      </c>
      <c r="AH95" s="101">
        <f t="shared" si="41"/>
        <v>299</v>
      </c>
      <c r="AI95" s="101">
        <f t="shared" si="42"/>
        <v>299</v>
      </c>
      <c r="AJ95" s="361">
        <f t="shared" si="43"/>
        <v>299</v>
      </c>
    </row>
    <row r="96" spans="1:36" s="2" customFormat="1" ht="13.5" customHeight="1" x14ac:dyDescent="0.25">
      <c r="A96" s="10"/>
      <c r="B96" s="10"/>
      <c r="C96" s="10"/>
      <c r="D96" s="18"/>
      <c r="E96" s="10"/>
      <c r="F96" s="10"/>
      <c r="G96" s="10"/>
      <c r="H96" s="10"/>
      <c r="I96" s="10"/>
      <c r="J96" s="10"/>
      <c r="K96" s="10"/>
      <c r="L96" s="11"/>
      <c r="M96" s="98">
        <v>91</v>
      </c>
      <c r="N96" s="99">
        <f t="shared" si="46"/>
        <v>9.6500000000000002E-2</v>
      </c>
      <c r="O96" s="100">
        <f t="shared" si="36"/>
        <v>0</v>
      </c>
      <c r="P96" s="101">
        <f t="shared" si="30"/>
        <v>0</v>
      </c>
      <c r="Q96" s="101">
        <f t="shared" si="31"/>
        <v>0</v>
      </c>
      <c r="R96" s="101">
        <f t="shared" si="32"/>
        <v>0</v>
      </c>
      <c r="S96" s="101">
        <f t="shared" si="37"/>
        <v>0</v>
      </c>
      <c r="T96" s="101"/>
      <c r="U96" s="101">
        <f>IF('Simulador CH BX+'!$D$18="Monto de crédito",$F$11*$F$15,O96*$F$15)</f>
        <v>0</v>
      </c>
      <c r="V96" s="101">
        <f>IF('Simulador CH BX+'!$D$17="Valor Destructible",IF(O96-$F$18&lt;0,0,$F$18),IF(M96&gt;$F$8,0,MAX(O96,$F$10)*$F$17))</f>
        <v>0</v>
      </c>
      <c r="W96" s="101">
        <f t="shared" si="33"/>
        <v>0</v>
      </c>
      <c r="X96" s="101">
        <f t="shared" si="34"/>
        <v>0</v>
      </c>
      <c r="Y96" s="102">
        <f>'Simulador CH BX+'!M129</f>
        <v>0</v>
      </c>
      <c r="Z96" s="10"/>
      <c r="AA96" s="149">
        <f t="shared" si="44"/>
        <v>0</v>
      </c>
      <c r="AB96" s="101">
        <f t="shared" si="35"/>
        <v>0</v>
      </c>
      <c r="AC96" s="101">
        <f t="shared" si="38"/>
        <v>0</v>
      </c>
      <c r="AD96" s="101">
        <f t="shared" si="39"/>
        <v>0</v>
      </c>
      <c r="AE96" s="101">
        <f t="shared" si="40"/>
        <v>0</v>
      </c>
      <c r="AF96" s="101">
        <f>IF('Simulador CH BX+'!$D$18="Monto de crédito",$F$11*$F$15,AA96*$F$15)</f>
        <v>0</v>
      </c>
      <c r="AG96" s="101">
        <f>IF('Simulador CH BX+'!$D$17="Valor Destructible",IF(M96&gt;$F$8,0,$F$20),IF(M96&gt;$F$8,0,MAX(AA96,$F$10)*$F$19))</f>
        <v>0</v>
      </c>
      <c r="AH96" s="101">
        <f t="shared" si="41"/>
        <v>299</v>
      </c>
      <c r="AI96" s="101">
        <f t="shared" si="42"/>
        <v>299</v>
      </c>
      <c r="AJ96" s="361">
        <f t="shared" si="43"/>
        <v>299</v>
      </c>
    </row>
    <row r="97" spans="1:36" s="2" customFormat="1" ht="13.5" customHeight="1" x14ac:dyDescent="0.25">
      <c r="A97" s="10"/>
      <c r="B97" s="10"/>
      <c r="C97" s="10"/>
      <c r="D97" s="18"/>
      <c r="E97" s="10"/>
      <c r="F97" s="10"/>
      <c r="G97" s="10"/>
      <c r="H97" s="10"/>
      <c r="I97" s="10"/>
      <c r="J97" s="10"/>
      <c r="K97" s="10"/>
      <c r="L97" s="11"/>
      <c r="M97" s="98">
        <v>92</v>
      </c>
      <c r="N97" s="99">
        <f t="shared" si="46"/>
        <v>9.6500000000000002E-2</v>
      </c>
      <c r="O97" s="100">
        <f t="shared" si="36"/>
        <v>0</v>
      </c>
      <c r="P97" s="101">
        <f t="shared" si="30"/>
        <v>0</v>
      </c>
      <c r="Q97" s="101">
        <f t="shared" si="31"/>
        <v>0</v>
      </c>
      <c r="R97" s="101">
        <f t="shared" si="32"/>
        <v>0</v>
      </c>
      <c r="S97" s="101">
        <f t="shared" si="37"/>
        <v>0</v>
      </c>
      <c r="T97" s="101"/>
      <c r="U97" s="101">
        <f>IF('Simulador CH BX+'!$D$18="Monto de crédito",$F$11*$F$15,O97*$F$15)</f>
        <v>0</v>
      </c>
      <c r="V97" s="101">
        <f>IF('Simulador CH BX+'!$D$17="Valor Destructible",IF(O97-$F$18&lt;0,0,$F$18),IF(M97&gt;$F$8,0,MAX(O97,$F$10)*$F$17))</f>
        <v>0</v>
      </c>
      <c r="W97" s="101">
        <f t="shared" si="33"/>
        <v>0</v>
      </c>
      <c r="X97" s="101">
        <f t="shared" si="34"/>
        <v>0</v>
      </c>
      <c r="Y97" s="102">
        <f>'Simulador CH BX+'!M130</f>
        <v>0</v>
      </c>
      <c r="Z97" s="10"/>
      <c r="AA97" s="149">
        <f t="shared" si="44"/>
        <v>0</v>
      </c>
      <c r="AB97" s="101">
        <f t="shared" si="35"/>
        <v>0</v>
      </c>
      <c r="AC97" s="101">
        <f t="shared" si="38"/>
        <v>0</v>
      </c>
      <c r="AD97" s="101">
        <f t="shared" si="39"/>
        <v>0</v>
      </c>
      <c r="AE97" s="101">
        <f t="shared" si="40"/>
        <v>0</v>
      </c>
      <c r="AF97" s="101">
        <f>IF('Simulador CH BX+'!$D$18="Monto de crédito",$F$11*$F$15,AA97*$F$15)</f>
        <v>0</v>
      </c>
      <c r="AG97" s="101">
        <f>IF('Simulador CH BX+'!$D$17="Valor Destructible",IF(M97&gt;$F$8,0,$F$20),IF(M97&gt;$F$8,0,MAX(AA97,$F$10)*$F$19))</f>
        <v>0</v>
      </c>
      <c r="AH97" s="101">
        <f t="shared" si="41"/>
        <v>299</v>
      </c>
      <c r="AI97" s="101">
        <f t="shared" si="42"/>
        <v>299</v>
      </c>
      <c r="AJ97" s="361">
        <f t="shared" si="43"/>
        <v>299</v>
      </c>
    </row>
    <row r="98" spans="1:36" s="2" customFormat="1" ht="13.5" customHeight="1" x14ac:dyDescent="0.25">
      <c r="A98" s="10"/>
      <c r="B98" s="10"/>
      <c r="C98" s="10"/>
      <c r="D98" s="18"/>
      <c r="E98" s="10"/>
      <c r="F98" s="10"/>
      <c r="G98" s="10"/>
      <c r="H98" s="10"/>
      <c r="I98" s="10"/>
      <c r="J98" s="10"/>
      <c r="K98" s="10"/>
      <c r="L98" s="11"/>
      <c r="M98" s="98">
        <v>93</v>
      </c>
      <c r="N98" s="99">
        <f t="shared" si="46"/>
        <v>9.6500000000000002E-2</v>
      </c>
      <c r="O98" s="100">
        <f t="shared" si="36"/>
        <v>0</v>
      </c>
      <c r="P98" s="101">
        <f t="shared" si="30"/>
        <v>0</v>
      </c>
      <c r="Q98" s="101">
        <f t="shared" si="31"/>
        <v>0</v>
      </c>
      <c r="R98" s="101">
        <f t="shared" si="32"/>
        <v>0</v>
      </c>
      <c r="S98" s="101">
        <f t="shared" si="37"/>
        <v>0</v>
      </c>
      <c r="T98" s="101"/>
      <c r="U98" s="101">
        <f>IF('Simulador CH BX+'!$D$18="Monto de crédito",$F$11*$F$15,O98*$F$15)</f>
        <v>0</v>
      </c>
      <c r="V98" s="101">
        <f>IF('Simulador CH BX+'!$D$17="Valor Destructible",IF(O98-$F$18&lt;0,0,$F$18),IF(M98&gt;$F$8,0,MAX(O98,$F$10)*$F$17))</f>
        <v>0</v>
      </c>
      <c r="W98" s="101">
        <f t="shared" si="33"/>
        <v>0</v>
      </c>
      <c r="X98" s="101">
        <f t="shared" si="34"/>
        <v>0</v>
      </c>
      <c r="Y98" s="102">
        <f>'Simulador CH BX+'!M131</f>
        <v>0</v>
      </c>
      <c r="Z98" s="10"/>
      <c r="AA98" s="149">
        <f t="shared" si="44"/>
        <v>0</v>
      </c>
      <c r="AB98" s="101">
        <f t="shared" si="35"/>
        <v>0</v>
      </c>
      <c r="AC98" s="101">
        <f t="shared" si="38"/>
        <v>0</v>
      </c>
      <c r="AD98" s="101">
        <f t="shared" si="39"/>
        <v>0</v>
      </c>
      <c r="AE98" s="101">
        <f t="shared" si="40"/>
        <v>0</v>
      </c>
      <c r="AF98" s="101">
        <f>IF('Simulador CH BX+'!$D$18="Monto de crédito",$F$11*$F$15,AA98*$F$15)</f>
        <v>0</v>
      </c>
      <c r="AG98" s="101">
        <f>IF('Simulador CH BX+'!$D$17="Valor Destructible",IF(M98&gt;$F$8,0,$F$20),IF(M98&gt;$F$8,0,MAX(AA98,$F$10)*$F$19))</f>
        <v>0</v>
      </c>
      <c r="AH98" s="101">
        <f t="shared" si="41"/>
        <v>299</v>
      </c>
      <c r="AI98" s="101">
        <f t="shared" si="42"/>
        <v>299</v>
      </c>
      <c r="AJ98" s="361">
        <f t="shared" si="43"/>
        <v>299</v>
      </c>
    </row>
    <row r="99" spans="1:36" s="2" customFormat="1" ht="13.5" customHeight="1" x14ac:dyDescent="0.25">
      <c r="A99" s="10"/>
      <c r="B99" s="10"/>
      <c r="C99" s="10"/>
      <c r="D99" s="18"/>
      <c r="E99" s="10"/>
      <c r="F99" s="10"/>
      <c r="G99" s="10"/>
      <c r="H99" s="10"/>
      <c r="I99" s="10"/>
      <c r="J99" s="10"/>
      <c r="K99" s="10"/>
      <c r="L99" s="11"/>
      <c r="M99" s="98">
        <v>94</v>
      </c>
      <c r="N99" s="99">
        <f t="shared" si="46"/>
        <v>9.6500000000000002E-2</v>
      </c>
      <c r="O99" s="100">
        <f t="shared" si="36"/>
        <v>0</v>
      </c>
      <c r="P99" s="101">
        <f t="shared" si="30"/>
        <v>0</v>
      </c>
      <c r="Q99" s="101">
        <f t="shared" si="31"/>
        <v>0</v>
      </c>
      <c r="R99" s="101">
        <f t="shared" si="32"/>
        <v>0</v>
      </c>
      <c r="S99" s="101">
        <f t="shared" si="37"/>
        <v>0</v>
      </c>
      <c r="T99" s="101"/>
      <c r="U99" s="101">
        <f>IF('Simulador CH BX+'!$D$18="Monto de crédito",$F$11*$F$15,O99*$F$15)</f>
        <v>0</v>
      </c>
      <c r="V99" s="101">
        <f>IF('Simulador CH BX+'!$D$17="Valor Destructible",IF(O99-$F$18&lt;0,0,$F$18),IF(M99&gt;$F$8,0,MAX(O99,$F$10)*$F$17))</f>
        <v>0</v>
      </c>
      <c r="W99" s="101">
        <f t="shared" si="33"/>
        <v>0</v>
      </c>
      <c r="X99" s="101">
        <f t="shared" si="34"/>
        <v>0</v>
      </c>
      <c r="Y99" s="102">
        <f>'Simulador CH BX+'!M132</f>
        <v>0</v>
      </c>
      <c r="Z99" s="10"/>
      <c r="AA99" s="149">
        <f t="shared" si="44"/>
        <v>0</v>
      </c>
      <c r="AB99" s="101">
        <f t="shared" si="35"/>
        <v>0</v>
      </c>
      <c r="AC99" s="101">
        <f t="shared" si="38"/>
        <v>0</v>
      </c>
      <c r="AD99" s="101">
        <f t="shared" si="39"/>
        <v>0</v>
      </c>
      <c r="AE99" s="101">
        <f t="shared" si="40"/>
        <v>0</v>
      </c>
      <c r="AF99" s="101">
        <f>IF('Simulador CH BX+'!$D$18="Monto de crédito",$F$11*$F$15,AA99*$F$15)</f>
        <v>0</v>
      </c>
      <c r="AG99" s="101">
        <f>IF('Simulador CH BX+'!$D$17="Valor Destructible",IF(M99&gt;$F$8,0,$F$20),IF(M99&gt;$F$8,0,MAX(AA99,$F$10)*$F$19))</f>
        <v>0</v>
      </c>
      <c r="AH99" s="101">
        <f t="shared" si="41"/>
        <v>299</v>
      </c>
      <c r="AI99" s="101">
        <f t="shared" si="42"/>
        <v>299</v>
      </c>
      <c r="AJ99" s="361">
        <f t="shared" si="43"/>
        <v>299</v>
      </c>
    </row>
    <row r="100" spans="1:36" s="2" customFormat="1" ht="13.5" customHeight="1" x14ac:dyDescent="0.25">
      <c r="A100" s="10"/>
      <c r="B100" s="10"/>
      <c r="C100" s="10"/>
      <c r="D100" s="18"/>
      <c r="E100" s="10"/>
      <c r="F100" s="10"/>
      <c r="G100" s="10"/>
      <c r="H100" s="10"/>
      <c r="I100" s="10"/>
      <c r="J100" s="10"/>
      <c r="K100" s="10"/>
      <c r="L100" s="11"/>
      <c r="M100" s="98">
        <v>95</v>
      </c>
      <c r="N100" s="99">
        <f t="shared" si="46"/>
        <v>9.6500000000000002E-2</v>
      </c>
      <c r="O100" s="100">
        <f t="shared" si="36"/>
        <v>0</v>
      </c>
      <c r="P100" s="101">
        <f t="shared" si="30"/>
        <v>0</v>
      </c>
      <c r="Q100" s="101">
        <f t="shared" si="31"/>
        <v>0</v>
      </c>
      <c r="R100" s="101">
        <f t="shared" si="32"/>
        <v>0</v>
      </c>
      <c r="S100" s="101">
        <f t="shared" si="37"/>
        <v>0</v>
      </c>
      <c r="T100" s="101"/>
      <c r="U100" s="101">
        <f>IF('Simulador CH BX+'!$D$18="Monto de crédito",$F$11*$F$15,O100*$F$15)</f>
        <v>0</v>
      </c>
      <c r="V100" s="101">
        <f>IF('Simulador CH BX+'!$D$17="Valor Destructible",IF(O100-$F$18&lt;0,0,$F$18),IF(M100&gt;$F$8,0,MAX(O100,$F$10)*$F$17))</f>
        <v>0</v>
      </c>
      <c r="W100" s="101">
        <f t="shared" si="33"/>
        <v>0</v>
      </c>
      <c r="X100" s="101">
        <f t="shared" si="34"/>
        <v>0</v>
      </c>
      <c r="Y100" s="102">
        <f>'Simulador CH BX+'!M133</f>
        <v>0</v>
      </c>
      <c r="Z100" s="10"/>
      <c r="AA100" s="149">
        <f t="shared" si="44"/>
        <v>0</v>
      </c>
      <c r="AB100" s="101">
        <f t="shared" si="35"/>
        <v>0</v>
      </c>
      <c r="AC100" s="101">
        <f t="shared" si="38"/>
        <v>0</v>
      </c>
      <c r="AD100" s="101">
        <f t="shared" si="39"/>
        <v>0</v>
      </c>
      <c r="AE100" s="101">
        <f t="shared" si="40"/>
        <v>0</v>
      </c>
      <c r="AF100" s="101">
        <f>IF('Simulador CH BX+'!$D$18="Monto de crédito",$F$11*$F$15,AA100*$F$15)</f>
        <v>0</v>
      </c>
      <c r="AG100" s="101">
        <f>IF('Simulador CH BX+'!$D$17="Valor Destructible",IF(M100&gt;$F$8,0,$F$20),IF(M100&gt;$F$8,0,MAX(AA100,$F$10)*$F$19))</f>
        <v>0</v>
      </c>
      <c r="AH100" s="101">
        <f t="shared" si="41"/>
        <v>299</v>
      </c>
      <c r="AI100" s="101">
        <f t="shared" si="42"/>
        <v>299</v>
      </c>
      <c r="AJ100" s="361">
        <f t="shared" si="43"/>
        <v>299</v>
      </c>
    </row>
    <row r="101" spans="1:36" s="2" customFormat="1" ht="13.5" customHeight="1" x14ac:dyDescent="0.25">
      <c r="A101" s="10"/>
      <c r="B101" s="10"/>
      <c r="C101" s="10"/>
      <c r="D101" s="18"/>
      <c r="E101" s="10"/>
      <c r="F101" s="10"/>
      <c r="G101" s="10"/>
      <c r="H101" s="10"/>
      <c r="I101" s="10"/>
      <c r="J101" s="10"/>
      <c r="K101" s="10"/>
      <c r="L101" s="11"/>
      <c r="M101" s="103">
        <v>96</v>
      </c>
      <c r="N101" s="104">
        <f t="shared" si="46"/>
        <v>9.6500000000000002E-2</v>
      </c>
      <c r="O101" s="105">
        <f t="shared" si="36"/>
        <v>0</v>
      </c>
      <c r="P101" s="106">
        <f t="shared" si="30"/>
        <v>0</v>
      </c>
      <c r="Q101" s="106">
        <f t="shared" si="31"/>
        <v>0</v>
      </c>
      <c r="R101" s="106">
        <f t="shared" si="32"/>
        <v>0</v>
      </c>
      <c r="S101" s="106">
        <f t="shared" si="37"/>
        <v>0</v>
      </c>
      <c r="T101" s="106">
        <f>$F$24</f>
        <v>0</v>
      </c>
      <c r="U101" s="106">
        <f>IF('Simulador CH BX+'!$D$18="Monto de crédito",$F$11*$F$15,O101*$F$15)</f>
        <v>0</v>
      </c>
      <c r="V101" s="106">
        <f>IF('Simulador CH BX+'!$D$17="Valor Destructible",IF(O101-$F$18&lt;0,0,$F$18),IF(M101&gt;$F$8,0,MAX(O101,$F$10)*$F$17))</f>
        <v>0</v>
      </c>
      <c r="W101" s="106">
        <f t="shared" si="33"/>
        <v>0</v>
      </c>
      <c r="X101" s="106">
        <f t="shared" si="34"/>
        <v>0</v>
      </c>
      <c r="Y101" s="107">
        <f>'Simulador CH BX+'!M134</f>
        <v>0</v>
      </c>
      <c r="Z101" s="10"/>
      <c r="AA101" s="150">
        <f t="shared" si="44"/>
        <v>0</v>
      </c>
      <c r="AB101" s="106">
        <f t="shared" si="35"/>
        <v>0</v>
      </c>
      <c r="AC101" s="106">
        <f t="shared" si="38"/>
        <v>0</v>
      </c>
      <c r="AD101" s="106">
        <f t="shared" si="39"/>
        <v>0</v>
      </c>
      <c r="AE101" s="106">
        <f t="shared" si="40"/>
        <v>0</v>
      </c>
      <c r="AF101" s="106">
        <f>IF('Simulador CH BX+'!$D$18="Monto de crédito",$F$11*$F$15,AA101*$F$15)</f>
        <v>0</v>
      </c>
      <c r="AG101" s="106">
        <f>IF('Simulador CH BX+'!$D$17="Valor Destructible",IF(M101&gt;$F$8,0,$F$20),IF(M101&gt;$F$8,0,MAX(AA101,$F$10)*$F$19))</f>
        <v>0</v>
      </c>
      <c r="AH101" s="106">
        <f t="shared" si="41"/>
        <v>299</v>
      </c>
      <c r="AI101" s="106">
        <f t="shared" si="42"/>
        <v>299</v>
      </c>
      <c r="AJ101" s="362">
        <f t="shared" si="43"/>
        <v>299</v>
      </c>
    </row>
    <row r="102" spans="1:36" s="2" customFormat="1" ht="13.5" customHeight="1" x14ac:dyDescent="0.25">
      <c r="A102" s="10"/>
      <c r="B102" s="10"/>
      <c r="C102" s="10"/>
      <c r="D102" s="18"/>
      <c r="E102" s="10"/>
      <c r="F102" s="10"/>
      <c r="G102" s="10"/>
      <c r="H102" s="10"/>
      <c r="I102" s="10"/>
      <c r="J102" s="10"/>
      <c r="K102" s="10"/>
      <c r="L102" s="11"/>
      <c r="M102" s="98">
        <v>97</v>
      </c>
      <c r="N102" s="99">
        <f t="shared" ref="N102:N113" si="47">C$27</f>
        <v>9.6500000000000002E-2</v>
      </c>
      <c r="O102" s="100">
        <f t="shared" si="36"/>
        <v>0</v>
      </c>
      <c r="P102" s="101">
        <f t="shared" ref="P102:P133" si="48">O102*(N102/12)</f>
        <v>0</v>
      </c>
      <c r="Q102" s="101">
        <f t="shared" ref="Q102:Q133" si="49">IF(R102-P102&lt;0,O102,R102-P102)</f>
        <v>0</v>
      </c>
      <c r="R102" s="101">
        <f t="shared" ref="R102:R133" si="50">IF(O102-F$14&lt;0,0,F$14)</f>
        <v>0</v>
      </c>
      <c r="S102" s="101">
        <f t="shared" si="37"/>
        <v>0</v>
      </c>
      <c r="T102" s="101"/>
      <c r="U102" s="101">
        <f>IF('Simulador CH BX+'!$D$18="Monto de crédito",$F$11*$F$15,O102*$F$15)</f>
        <v>0</v>
      </c>
      <c r="V102" s="101">
        <f>IF('Simulador CH BX+'!$D$17="Valor Destructible",IF(O102-$F$18&lt;0,0,$F$18),IF(M102&gt;$F$8,0,MAX(O102,$F$10)*$F$17))</f>
        <v>0</v>
      </c>
      <c r="W102" s="101">
        <f t="shared" ref="W102:W133" si="51">IF(O102-F$22&lt;0,0,F$22)</f>
        <v>0</v>
      </c>
      <c r="X102" s="101">
        <f t="shared" ref="X102:X133" si="52">P102+Q102+U102+V102+W102</f>
        <v>0</v>
      </c>
      <c r="Y102" s="102">
        <f>'Simulador CH BX+'!M135</f>
        <v>0</v>
      </c>
      <c r="Z102" s="10"/>
      <c r="AA102" s="149">
        <f t="shared" si="44"/>
        <v>0</v>
      </c>
      <c r="AB102" s="101">
        <f t="shared" ref="AB102:AB133" si="53">AA102*(N102/12)</f>
        <v>0</v>
      </c>
      <c r="AC102" s="101">
        <f t="shared" si="38"/>
        <v>0</v>
      </c>
      <c r="AD102" s="101">
        <f t="shared" si="39"/>
        <v>0</v>
      </c>
      <c r="AE102" s="101">
        <f t="shared" si="40"/>
        <v>0</v>
      </c>
      <c r="AF102" s="101">
        <f>IF('Simulador CH BX+'!$D$18="Monto de crédito",$F$11*$F$15,AA102*$F$15)</f>
        <v>0</v>
      </c>
      <c r="AG102" s="101">
        <f>IF('Simulador CH BX+'!$D$17="Valor Destructible",IF(M102&gt;$F$8,0,$F$20),IF(M102&gt;$F$8,0,MAX(AA102,$F$10)*$F$19))</f>
        <v>0</v>
      </c>
      <c r="AH102" s="101">
        <f t="shared" si="41"/>
        <v>299</v>
      </c>
      <c r="AI102" s="101">
        <f t="shared" si="42"/>
        <v>299</v>
      </c>
      <c r="AJ102" s="361">
        <f t="shared" si="43"/>
        <v>299</v>
      </c>
    </row>
    <row r="103" spans="1:36" s="2" customFormat="1" ht="13.5" customHeight="1" x14ac:dyDescent="0.25">
      <c r="A103" s="10"/>
      <c r="B103" s="10"/>
      <c r="C103" s="10"/>
      <c r="D103" s="18"/>
      <c r="E103" s="10"/>
      <c r="F103" s="10"/>
      <c r="G103" s="10"/>
      <c r="H103" s="10"/>
      <c r="I103" s="10"/>
      <c r="J103" s="10"/>
      <c r="K103" s="10"/>
      <c r="L103" s="11"/>
      <c r="M103" s="98">
        <v>98</v>
      </c>
      <c r="N103" s="99">
        <f t="shared" si="47"/>
        <v>9.6500000000000002E-2</v>
      </c>
      <c r="O103" s="100">
        <f t="shared" ref="O103:O134" si="54">(O102-Q102)-Y102</f>
        <v>0</v>
      </c>
      <c r="P103" s="101">
        <f t="shared" si="48"/>
        <v>0</v>
      </c>
      <c r="Q103" s="101">
        <f t="shared" si="49"/>
        <v>0</v>
      </c>
      <c r="R103" s="101">
        <f t="shared" si="50"/>
        <v>0</v>
      </c>
      <c r="S103" s="101">
        <f t="shared" si="37"/>
        <v>0</v>
      </c>
      <c r="T103" s="101"/>
      <c r="U103" s="101">
        <f>IF('Simulador CH BX+'!$D$18="Monto de crédito",$F$11*$F$15,O103*$F$15)</f>
        <v>0</v>
      </c>
      <c r="V103" s="101">
        <f>IF('Simulador CH BX+'!$D$17="Valor Destructible",IF(O103-$F$18&lt;0,0,$F$18),IF(M103&gt;$F$8,0,MAX(O103,$F$10)*$F$17))</f>
        <v>0</v>
      </c>
      <c r="W103" s="101">
        <f t="shared" si="51"/>
        <v>0</v>
      </c>
      <c r="X103" s="101">
        <f t="shared" si="52"/>
        <v>0</v>
      </c>
      <c r="Y103" s="102">
        <f>'Simulador CH BX+'!M136</f>
        <v>0</v>
      </c>
      <c r="Z103" s="10"/>
      <c r="AA103" s="149">
        <f t="shared" si="44"/>
        <v>0</v>
      </c>
      <c r="AB103" s="101">
        <f t="shared" si="53"/>
        <v>0</v>
      </c>
      <c r="AC103" s="101">
        <f t="shared" si="38"/>
        <v>0</v>
      </c>
      <c r="AD103" s="101">
        <f t="shared" si="39"/>
        <v>0</v>
      </c>
      <c r="AE103" s="101">
        <f t="shared" si="40"/>
        <v>0</v>
      </c>
      <c r="AF103" s="101">
        <f>IF('Simulador CH BX+'!$D$18="Monto de crédito",$F$11*$F$15,AA103*$F$15)</f>
        <v>0</v>
      </c>
      <c r="AG103" s="101">
        <f>IF('Simulador CH BX+'!$D$17="Valor Destructible",IF(M103&gt;$F$8,0,$F$20),IF(M103&gt;$F$8,0,MAX(AA103,$F$10)*$F$19))</f>
        <v>0</v>
      </c>
      <c r="AH103" s="101">
        <f t="shared" si="41"/>
        <v>299</v>
      </c>
      <c r="AI103" s="101">
        <f t="shared" si="42"/>
        <v>299</v>
      </c>
      <c r="AJ103" s="361">
        <f t="shared" si="43"/>
        <v>299</v>
      </c>
    </row>
    <row r="104" spans="1:36" s="2" customFormat="1" ht="13.5" customHeight="1" x14ac:dyDescent="0.25">
      <c r="A104" s="10"/>
      <c r="B104" s="10"/>
      <c r="C104" s="10"/>
      <c r="D104" s="18"/>
      <c r="E104" s="10"/>
      <c r="F104" s="10"/>
      <c r="G104" s="10"/>
      <c r="H104" s="10"/>
      <c r="I104" s="10"/>
      <c r="J104" s="10"/>
      <c r="K104" s="10"/>
      <c r="L104" s="11"/>
      <c r="M104" s="98">
        <v>99</v>
      </c>
      <c r="N104" s="99">
        <f t="shared" si="47"/>
        <v>9.6500000000000002E-2</v>
      </c>
      <c r="O104" s="100">
        <f t="shared" si="54"/>
        <v>0</v>
      </c>
      <c r="P104" s="101">
        <f t="shared" si="48"/>
        <v>0</v>
      </c>
      <c r="Q104" s="101">
        <f t="shared" si="49"/>
        <v>0</v>
      </c>
      <c r="R104" s="101">
        <f t="shared" si="50"/>
        <v>0</v>
      </c>
      <c r="S104" s="101">
        <f t="shared" si="37"/>
        <v>0</v>
      </c>
      <c r="T104" s="101"/>
      <c r="U104" s="101">
        <f>IF('Simulador CH BX+'!$D$18="Monto de crédito",$F$11*$F$15,O104*$F$15)</f>
        <v>0</v>
      </c>
      <c r="V104" s="101">
        <f>IF('Simulador CH BX+'!$D$17="Valor Destructible",IF(O104-$F$18&lt;0,0,$F$18),IF(M104&gt;$F$8,0,MAX(O104,$F$10)*$F$17))</f>
        <v>0</v>
      </c>
      <c r="W104" s="101">
        <f t="shared" si="51"/>
        <v>0</v>
      </c>
      <c r="X104" s="101">
        <f t="shared" si="52"/>
        <v>0</v>
      </c>
      <c r="Y104" s="102">
        <f>'Simulador CH BX+'!M137</f>
        <v>0</v>
      </c>
      <c r="Z104" s="10"/>
      <c r="AA104" s="149">
        <f t="shared" si="44"/>
        <v>0</v>
      </c>
      <c r="AB104" s="101">
        <f t="shared" si="53"/>
        <v>0</v>
      </c>
      <c r="AC104" s="101">
        <f t="shared" si="38"/>
        <v>0</v>
      </c>
      <c r="AD104" s="101">
        <f t="shared" si="39"/>
        <v>0</v>
      </c>
      <c r="AE104" s="101">
        <f t="shared" si="40"/>
        <v>0</v>
      </c>
      <c r="AF104" s="101">
        <f>IF('Simulador CH BX+'!$D$18="Monto de crédito",$F$11*$F$15,AA104*$F$15)</f>
        <v>0</v>
      </c>
      <c r="AG104" s="101">
        <f>IF('Simulador CH BX+'!$D$17="Valor Destructible",IF(M104&gt;$F$8,0,$F$20),IF(M104&gt;$F$8,0,MAX(AA104,$F$10)*$F$19))</f>
        <v>0</v>
      </c>
      <c r="AH104" s="101">
        <f t="shared" si="41"/>
        <v>299</v>
      </c>
      <c r="AI104" s="101">
        <f t="shared" si="42"/>
        <v>299</v>
      </c>
      <c r="AJ104" s="361">
        <f t="shared" si="43"/>
        <v>299</v>
      </c>
    </row>
    <row r="105" spans="1:36" s="2" customFormat="1" ht="13.5" customHeight="1" x14ac:dyDescent="0.25">
      <c r="A105" s="10"/>
      <c r="B105" s="10"/>
      <c r="C105" s="10"/>
      <c r="D105" s="18"/>
      <c r="E105" s="10"/>
      <c r="F105" s="10"/>
      <c r="G105" s="10"/>
      <c r="H105" s="10"/>
      <c r="I105" s="10"/>
      <c r="J105" s="10"/>
      <c r="K105" s="10"/>
      <c r="L105" s="11"/>
      <c r="M105" s="98">
        <v>100</v>
      </c>
      <c r="N105" s="99">
        <f t="shared" si="47"/>
        <v>9.6500000000000002E-2</v>
      </c>
      <c r="O105" s="100">
        <f t="shared" si="54"/>
        <v>0</v>
      </c>
      <c r="P105" s="101">
        <f t="shared" si="48"/>
        <v>0</v>
      </c>
      <c r="Q105" s="101">
        <f t="shared" si="49"/>
        <v>0</v>
      </c>
      <c r="R105" s="101">
        <f t="shared" si="50"/>
        <v>0</v>
      </c>
      <c r="S105" s="101">
        <f t="shared" si="37"/>
        <v>0</v>
      </c>
      <c r="T105" s="101"/>
      <c r="U105" s="101">
        <f>IF('Simulador CH BX+'!$D$18="Monto de crédito",$F$11*$F$15,O105*$F$15)</f>
        <v>0</v>
      </c>
      <c r="V105" s="101">
        <f>IF('Simulador CH BX+'!$D$17="Valor Destructible",IF(O105-$F$18&lt;0,0,$F$18),IF(M105&gt;$F$8,0,MAX(O105,$F$10)*$F$17))</f>
        <v>0</v>
      </c>
      <c r="W105" s="101">
        <f t="shared" si="51"/>
        <v>0</v>
      </c>
      <c r="X105" s="101">
        <f t="shared" si="52"/>
        <v>0</v>
      </c>
      <c r="Y105" s="102">
        <f>'Simulador CH BX+'!M138</f>
        <v>0</v>
      </c>
      <c r="Z105" s="10"/>
      <c r="AA105" s="149">
        <f t="shared" si="44"/>
        <v>0</v>
      </c>
      <c r="AB105" s="101">
        <f t="shared" si="53"/>
        <v>0</v>
      </c>
      <c r="AC105" s="101">
        <f t="shared" si="38"/>
        <v>0</v>
      </c>
      <c r="AD105" s="101">
        <f t="shared" si="39"/>
        <v>0</v>
      </c>
      <c r="AE105" s="101">
        <f t="shared" si="40"/>
        <v>0</v>
      </c>
      <c r="AF105" s="101">
        <f>IF('Simulador CH BX+'!$D$18="Monto de crédito",$F$11*$F$15,AA105*$F$15)</f>
        <v>0</v>
      </c>
      <c r="AG105" s="101">
        <f>IF('Simulador CH BX+'!$D$17="Valor Destructible",IF(M105&gt;$F$8,0,$F$20),IF(M105&gt;$F$8,0,MAX(AA105,$F$10)*$F$19))</f>
        <v>0</v>
      </c>
      <c r="AH105" s="101">
        <f t="shared" si="41"/>
        <v>299</v>
      </c>
      <c r="AI105" s="101">
        <f t="shared" si="42"/>
        <v>299</v>
      </c>
      <c r="AJ105" s="361">
        <f t="shared" si="43"/>
        <v>299</v>
      </c>
    </row>
    <row r="106" spans="1:36" s="2" customFormat="1" ht="13.5" customHeight="1" x14ac:dyDescent="0.25">
      <c r="A106" s="10"/>
      <c r="B106" s="10"/>
      <c r="C106" s="10"/>
      <c r="D106" s="18"/>
      <c r="E106" s="10"/>
      <c r="F106" s="10"/>
      <c r="G106" s="10"/>
      <c r="H106" s="10"/>
      <c r="I106" s="10"/>
      <c r="J106" s="10"/>
      <c r="K106" s="10"/>
      <c r="L106" s="11"/>
      <c r="M106" s="98">
        <v>101</v>
      </c>
      <c r="N106" s="99">
        <f t="shared" si="47"/>
        <v>9.6500000000000002E-2</v>
      </c>
      <c r="O106" s="100">
        <f t="shared" si="54"/>
        <v>0</v>
      </c>
      <c r="P106" s="101">
        <f t="shared" si="48"/>
        <v>0</v>
      </c>
      <c r="Q106" s="101">
        <f t="shared" si="49"/>
        <v>0</v>
      </c>
      <c r="R106" s="101">
        <f t="shared" si="50"/>
        <v>0</v>
      </c>
      <c r="S106" s="101">
        <f t="shared" si="37"/>
        <v>0</v>
      </c>
      <c r="T106" s="101"/>
      <c r="U106" s="101">
        <f>IF('Simulador CH BX+'!$D$18="Monto de crédito",$F$11*$F$15,O106*$F$15)</f>
        <v>0</v>
      </c>
      <c r="V106" s="101">
        <f>IF('Simulador CH BX+'!$D$17="Valor Destructible",IF(O106-$F$18&lt;0,0,$F$18),IF(M106&gt;$F$8,0,MAX(O106,$F$10)*$F$17))</f>
        <v>0</v>
      </c>
      <c r="W106" s="101">
        <f t="shared" si="51"/>
        <v>0</v>
      </c>
      <c r="X106" s="101">
        <f t="shared" si="52"/>
        <v>0</v>
      </c>
      <c r="Y106" s="102">
        <f>'Simulador CH BX+'!M139</f>
        <v>0</v>
      </c>
      <c r="Z106" s="10"/>
      <c r="AA106" s="149">
        <f t="shared" si="44"/>
        <v>0</v>
      </c>
      <c r="AB106" s="101">
        <f t="shared" si="53"/>
        <v>0</v>
      </c>
      <c r="AC106" s="101">
        <f t="shared" si="38"/>
        <v>0</v>
      </c>
      <c r="AD106" s="101">
        <f t="shared" si="39"/>
        <v>0</v>
      </c>
      <c r="AE106" s="101">
        <f t="shared" si="40"/>
        <v>0</v>
      </c>
      <c r="AF106" s="101">
        <f>IF('Simulador CH BX+'!$D$18="Monto de crédito",$F$11*$F$15,AA106*$F$15)</f>
        <v>0</v>
      </c>
      <c r="AG106" s="101">
        <f>IF('Simulador CH BX+'!$D$17="Valor Destructible",IF(M106&gt;$F$8,0,$F$20),IF(M106&gt;$F$8,0,MAX(AA106,$F$10)*$F$19))</f>
        <v>0</v>
      </c>
      <c r="AH106" s="101">
        <f t="shared" si="41"/>
        <v>299</v>
      </c>
      <c r="AI106" s="101">
        <f t="shared" si="42"/>
        <v>299</v>
      </c>
      <c r="AJ106" s="361">
        <f t="shared" si="43"/>
        <v>299</v>
      </c>
    </row>
    <row r="107" spans="1:36" s="2" customFormat="1" ht="13.5" customHeight="1" x14ac:dyDescent="0.25">
      <c r="A107" s="10"/>
      <c r="B107" s="10"/>
      <c r="C107" s="10"/>
      <c r="D107" s="18"/>
      <c r="E107" s="10"/>
      <c r="F107" s="10"/>
      <c r="G107" s="10"/>
      <c r="H107" s="10"/>
      <c r="I107" s="10"/>
      <c r="J107" s="10"/>
      <c r="K107" s="10"/>
      <c r="L107" s="11"/>
      <c r="M107" s="98">
        <v>102</v>
      </c>
      <c r="N107" s="99">
        <f t="shared" si="47"/>
        <v>9.6500000000000002E-2</v>
      </c>
      <c r="O107" s="100">
        <f t="shared" si="54"/>
        <v>0</v>
      </c>
      <c r="P107" s="101">
        <f t="shared" si="48"/>
        <v>0</v>
      </c>
      <c r="Q107" s="101">
        <f t="shared" si="49"/>
        <v>0</v>
      </c>
      <c r="R107" s="101">
        <f t="shared" si="50"/>
        <v>0</v>
      </c>
      <c r="S107" s="101">
        <f t="shared" si="37"/>
        <v>0</v>
      </c>
      <c r="T107" s="101"/>
      <c r="U107" s="101">
        <f>IF('Simulador CH BX+'!$D$18="Monto de crédito",$F$11*$F$15,O107*$F$15)</f>
        <v>0</v>
      </c>
      <c r="V107" s="101">
        <f>IF('Simulador CH BX+'!$D$17="Valor Destructible",IF(O107-$F$18&lt;0,0,$F$18),IF(M107&gt;$F$8,0,MAX(O107,$F$10)*$F$17))</f>
        <v>0</v>
      </c>
      <c r="W107" s="101">
        <f t="shared" si="51"/>
        <v>0</v>
      </c>
      <c r="X107" s="101">
        <f t="shared" si="52"/>
        <v>0</v>
      </c>
      <c r="Y107" s="102">
        <f>'Simulador CH BX+'!M140</f>
        <v>0</v>
      </c>
      <c r="Z107" s="10"/>
      <c r="AA107" s="149">
        <f t="shared" si="44"/>
        <v>0</v>
      </c>
      <c r="AB107" s="101">
        <f t="shared" si="53"/>
        <v>0</v>
      </c>
      <c r="AC107" s="101">
        <f t="shared" si="38"/>
        <v>0</v>
      </c>
      <c r="AD107" s="101">
        <f t="shared" si="39"/>
        <v>0</v>
      </c>
      <c r="AE107" s="101">
        <f t="shared" si="40"/>
        <v>0</v>
      </c>
      <c r="AF107" s="101">
        <f>IF('Simulador CH BX+'!$D$18="Monto de crédito",$F$11*$F$15,AA107*$F$15)</f>
        <v>0</v>
      </c>
      <c r="AG107" s="101">
        <f>IF('Simulador CH BX+'!$D$17="Valor Destructible",IF(M107&gt;$F$8,0,$F$20),IF(M107&gt;$F$8,0,MAX(AA107,$F$10)*$F$19))</f>
        <v>0</v>
      </c>
      <c r="AH107" s="101">
        <f t="shared" si="41"/>
        <v>299</v>
      </c>
      <c r="AI107" s="101">
        <f t="shared" si="42"/>
        <v>299</v>
      </c>
      <c r="AJ107" s="361">
        <f t="shared" si="43"/>
        <v>299</v>
      </c>
    </row>
    <row r="108" spans="1:36" s="2" customFormat="1" ht="13.5" customHeight="1" x14ac:dyDescent="0.25">
      <c r="A108" s="10"/>
      <c r="B108" s="10"/>
      <c r="C108" s="10"/>
      <c r="D108" s="18"/>
      <c r="E108" s="10"/>
      <c r="F108" s="10"/>
      <c r="G108" s="10"/>
      <c r="H108" s="10"/>
      <c r="I108" s="10"/>
      <c r="J108" s="10"/>
      <c r="K108" s="10"/>
      <c r="L108" s="11"/>
      <c r="M108" s="98">
        <v>103</v>
      </c>
      <c r="N108" s="99">
        <f t="shared" si="47"/>
        <v>9.6500000000000002E-2</v>
      </c>
      <c r="O108" s="100">
        <f t="shared" si="54"/>
        <v>0</v>
      </c>
      <c r="P108" s="101">
        <f t="shared" si="48"/>
        <v>0</v>
      </c>
      <c r="Q108" s="101">
        <f t="shared" si="49"/>
        <v>0</v>
      </c>
      <c r="R108" s="101">
        <f t="shared" si="50"/>
        <v>0</v>
      </c>
      <c r="S108" s="101">
        <f t="shared" si="37"/>
        <v>0</v>
      </c>
      <c r="T108" s="101"/>
      <c r="U108" s="101">
        <f>IF('Simulador CH BX+'!$D$18="Monto de crédito",$F$11*$F$15,O108*$F$15)</f>
        <v>0</v>
      </c>
      <c r="V108" s="101">
        <f>IF('Simulador CH BX+'!$D$17="Valor Destructible",IF(O108-$F$18&lt;0,0,$F$18),IF(M108&gt;$F$8,0,MAX(O108,$F$10)*$F$17))</f>
        <v>0</v>
      </c>
      <c r="W108" s="101">
        <f t="shared" si="51"/>
        <v>0</v>
      </c>
      <c r="X108" s="101">
        <f t="shared" si="52"/>
        <v>0</v>
      </c>
      <c r="Y108" s="102">
        <f>'Simulador CH BX+'!M141</f>
        <v>0</v>
      </c>
      <c r="Z108" s="10"/>
      <c r="AA108" s="149">
        <f t="shared" si="44"/>
        <v>0</v>
      </c>
      <c r="AB108" s="101">
        <f t="shared" si="53"/>
        <v>0</v>
      </c>
      <c r="AC108" s="101">
        <f t="shared" si="38"/>
        <v>0</v>
      </c>
      <c r="AD108" s="101">
        <f t="shared" si="39"/>
        <v>0</v>
      </c>
      <c r="AE108" s="101">
        <f t="shared" si="40"/>
        <v>0</v>
      </c>
      <c r="AF108" s="101">
        <f>IF('Simulador CH BX+'!$D$18="Monto de crédito",$F$11*$F$15,AA108*$F$15)</f>
        <v>0</v>
      </c>
      <c r="AG108" s="101">
        <f>IF('Simulador CH BX+'!$D$17="Valor Destructible",IF(M108&gt;$F$8,0,$F$20),IF(M108&gt;$F$8,0,MAX(AA108,$F$10)*$F$19))</f>
        <v>0</v>
      </c>
      <c r="AH108" s="101">
        <f t="shared" si="41"/>
        <v>299</v>
      </c>
      <c r="AI108" s="101">
        <f t="shared" si="42"/>
        <v>299</v>
      </c>
      <c r="AJ108" s="361">
        <f t="shared" si="43"/>
        <v>299</v>
      </c>
    </row>
    <row r="109" spans="1:36" s="2" customFormat="1" ht="13.5" customHeight="1" x14ac:dyDescent="0.25">
      <c r="A109" s="10"/>
      <c r="B109" s="10"/>
      <c r="C109" s="10"/>
      <c r="D109" s="18"/>
      <c r="E109" s="10"/>
      <c r="F109" s="10"/>
      <c r="G109" s="10"/>
      <c r="H109" s="10"/>
      <c r="I109" s="10"/>
      <c r="J109" s="10"/>
      <c r="K109" s="10"/>
      <c r="L109" s="11"/>
      <c r="M109" s="98">
        <v>104</v>
      </c>
      <c r="N109" s="99">
        <f t="shared" si="47"/>
        <v>9.6500000000000002E-2</v>
      </c>
      <c r="O109" s="100">
        <f t="shared" si="54"/>
        <v>0</v>
      </c>
      <c r="P109" s="101">
        <f t="shared" si="48"/>
        <v>0</v>
      </c>
      <c r="Q109" s="101">
        <f t="shared" si="49"/>
        <v>0</v>
      </c>
      <c r="R109" s="101">
        <f t="shared" si="50"/>
        <v>0</v>
      </c>
      <c r="S109" s="101">
        <f t="shared" si="37"/>
        <v>0</v>
      </c>
      <c r="T109" s="101"/>
      <c r="U109" s="101">
        <f>IF('Simulador CH BX+'!$D$18="Monto de crédito",$F$11*$F$15,O109*$F$15)</f>
        <v>0</v>
      </c>
      <c r="V109" s="101">
        <f>IF('Simulador CH BX+'!$D$17="Valor Destructible",IF(O109-$F$18&lt;0,0,$F$18),IF(M109&gt;$F$8,0,MAX(O109,$F$10)*$F$17))</f>
        <v>0</v>
      </c>
      <c r="W109" s="101">
        <f t="shared" si="51"/>
        <v>0</v>
      </c>
      <c r="X109" s="101">
        <f t="shared" si="52"/>
        <v>0</v>
      </c>
      <c r="Y109" s="102">
        <f>'Simulador CH BX+'!M142</f>
        <v>0</v>
      </c>
      <c r="Z109" s="10"/>
      <c r="AA109" s="149">
        <f t="shared" si="44"/>
        <v>0</v>
      </c>
      <c r="AB109" s="101">
        <f t="shared" si="53"/>
        <v>0</v>
      </c>
      <c r="AC109" s="101">
        <f t="shared" si="38"/>
        <v>0</v>
      </c>
      <c r="AD109" s="101">
        <f t="shared" si="39"/>
        <v>0</v>
      </c>
      <c r="AE109" s="101">
        <f t="shared" si="40"/>
        <v>0</v>
      </c>
      <c r="AF109" s="101">
        <f>IF('Simulador CH BX+'!$D$18="Monto de crédito",$F$11*$F$15,AA109*$F$15)</f>
        <v>0</v>
      </c>
      <c r="AG109" s="101">
        <f>IF('Simulador CH BX+'!$D$17="Valor Destructible",IF(M109&gt;$F$8,0,$F$20),IF(M109&gt;$F$8,0,MAX(AA109,$F$10)*$F$19))</f>
        <v>0</v>
      </c>
      <c r="AH109" s="101">
        <f t="shared" si="41"/>
        <v>299</v>
      </c>
      <c r="AI109" s="101">
        <f t="shared" si="42"/>
        <v>299</v>
      </c>
      <c r="AJ109" s="361">
        <f t="shared" si="43"/>
        <v>299</v>
      </c>
    </row>
    <row r="110" spans="1:36" s="2" customFormat="1" ht="13.5" customHeight="1" x14ac:dyDescent="0.25">
      <c r="A110" s="10"/>
      <c r="B110" s="10"/>
      <c r="C110" s="10"/>
      <c r="D110" s="18"/>
      <c r="E110" s="10"/>
      <c r="F110" s="10"/>
      <c r="G110" s="10"/>
      <c r="H110" s="10"/>
      <c r="I110" s="10"/>
      <c r="J110" s="10"/>
      <c r="K110" s="10"/>
      <c r="L110" s="11"/>
      <c r="M110" s="98">
        <v>105</v>
      </c>
      <c r="N110" s="99">
        <f t="shared" si="47"/>
        <v>9.6500000000000002E-2</v>
      </c>
      <c r="O110" s="100">
        <f t="shared" si="54"/>
        <v>0</v>
      </c>
      <c r="P110" s="101">
        <f t="shared" si="48"/>
        <v>0</v>
      </c>
      <c r="Q110" s="101">
        <f t="shared" si="49"/>
        <v>0</v>
      </c>
      <c r="R110" s="101">
        <f t="shared" si="50"/>
        <v>0</v>
      </c>
      <c r="S110" s="101">
        <f t="shared" si="37"/>
        <v>0</v>
      </c>
      <c r="T110" s="101"/>
      <c r="U110" s="101">
        <f>IF('Simulador CH BX+'!$D$18="Monto de crédito",$F$11*$F$15,O110*$F$15)</f>
        <v>0</v>
      </c>
      <c r="V110" s="101">
        <f>IF('Simulador CH BX+'!$D$17="Valor Destructible",IF(O110-$F$18&lt;0,0,$F$18),IF(M110&gt;$F$8,0,MAX(O110,$F$10)*$F$17))</f>
        <v>0</v>
      </c>
      <c r="W110" s="101">
        <f t="shared" si="51"/>
        <v>0</v>
      </c>
      <c r="X110" s="101">
        <f t="shared" si="52"/>
        <v>0</v>
      </c>
      <c r="Y110" s="102">
        <f>'Simulador CH BX+'!M143</f>
        <v>0</v>
      </c>
      <c r="Z110" s="10"/>
      <c r="AA110" s="149">
        <f t="shared" si="44"/>
        <v>0</v>
      </c>
      <c r="AB110" s="101">
        <f t="shared" si="53"/>
        <v>0</v>
      </c>
      <c r="AC110" s="101">
        <f t="shared" si="38"/>
        <v>0</v>
      </c>
      <c r="AD110" s="101">
        <f t="shared" si="39"/>
        <v>0</v>
      </c>
      <c r="AE110" s="101">
        <f t="shared" si="40"/>
        <v>0</v>
      </c>
      <c r="AF110" s="101">
        <f>IF('Simulador CH BX+'!$D$18="Monto de crédito",$F$11*$F$15,AA110*$F$15)</f>
        <v>0</v>
      </c>
      <c r="AG110" s="101">
        <f>IF('Simulador CH BX+'!$D$17="Valor Destructible",IF(M110&gt;$F$8,0,$F$20),IF(M110&gt;$F$8,0,MAX(AA110,$F$10)*$F$19))</f>
        <v>0</v>
      </c>
      <c r="AH110" s="101">
        <f t="shared" si="41"/>
        <v>299</v>
      </c>
      <c r="AI110" s="101">
        <f t="shared" si="42"/>
        <v>299</v>
      </c>
      <c r="AJ110" s="361">
        <f t="shared" si="43"/>
        <v>299</v>
      </c>
    </row>
    <row r="111" spans="1:36" s="2" customFormat="1" ht="13.5" customHeight="1" x14ac:dyDescent="0.25">
      <c r="A111" s="10"/>
      <c r="B111" s="10"/>
      <c r="C111" s="10"/>
      <c r="D111" s="18"/>
      <c r="E111" s="10"/>
      <c r="F111" s="10"/>
      <c r="G111" s="10"/>
      <c r="H111" s="10"/>
      <c r="I111" s="10"/>
      <c r="J111" s="10"/>
      <c r="K111" s="10"/>
      <c r="L111" s="11"/>
      <c r="M111" s="98">
        <v>106</v>
      </c>
      <c r="N111" s="99">
        <f t="shared" si="47"/>
        <v>9.6500000000000002E-2</v>
      </c>
      <c r="O111" s="100">
        <f t="shared" si="54"/>
        <v>0</v>
      </c>
      <c r="P111" s="101">
        <f t="shared" si="48"/>
        <v>0</v>
      </c>
      <c r="Q111" s="101">
        <f t="shared" si="49"/>
        <v>0</v>
      </c>
      <c r="R111" s="101">
        <f t="shared" si="50"/>
        <v>0</v>
      </c>
      <c r="S111" s="101">
        <f t="shared" si="37"/>
        <v>0</v>
      </c>
      <c r="T111" s="101"/>
      <c r="U111" s="101">
        <f>IF('Simulador CH BX+'!$D$18="Monto de crédito",$F$11*$F$15,O111*$F$15)</f>
        <v>0</v>
      </c>
      <c r="V111" s="101">
        <f>IF('Simulador CH BX+'!$D$17="Valor Destructible",IF(O111-$F$18&lt;0,0,$F$18),IF(M111&gt;$F$8,0,MAX(O111,$F$10)*$F$17))</f>
        <v>0</v>
      </c>
      <c r="W111" s="101">
        <f t="shared" si="51"/>
        <v>0</v>
      </c>
      <c r="X111" s="101">
        <f t="shared" si="52"/>
        <v>0</v>
      </c>
      <c r="Y111" s="102">
        <f>'Simulador CH BX+'!M144</f>
        <v>0</v>
      </c>
      <c r="Z111" s="10"/>
      <c r="AA111" s="149">
        <f t="shared" si="44"/>
        <v>0</v>
      </c>
      <c r="AB111" s="101">
        <f t="shared" si="53"/>
        <v>0</v>
      </c>
      <c r="AC111" s="101">
        <f t="shared" si="38"/>
        <v>0</v>
      </c>
      <c r="AD111" s="101">
        <f t="shared" si="39"/>
        <v>0</v>
      </c>
      <c r="AE111" s="101">
        <f t="shared" si="40"/>
        <v>0</v>
      </c>
      <c r="AF111" s="101">
        <f>IF('Simulador CH BX+'!$D$18="Monto de crédito",$F$11*$F$15,AA111*$F$15)</f>
        <v>0</v>
      </c>
      <c r="AG111" s="101">
        <f>IF('Simulador CH BX+'!$D$17="Valor Destructible",IF(M111&gt;$F$8,0,$F$20),IF(M111&gt;$F$8,0,MAX(AA111,$F$10)*$F$19))</f>
        <v>0</v>
      </c>
      <c r="AH111" s="101">
        <f t="shared" si="41"/>
        <v>299</v>
      </c>
      <c r="AI111" s="101">
        <f t="shared" si="42"/>
        <v>299</v>
      </c>
      <c r="AJ111" s="361">
        <f t="shared" si="43"/>
        <v>299</v>
      </c>
    </row>
    <row r="112" spans="1:36" s="2" customFormat="1" ht="13.5" customHeight="1" x14ac:dyDescent="0.25">
      <c r="A112" s="10"/>
      <c r="B112" s="10"/>
      <c r="C112" s="10"/>
      <c r="D112" s="18"/>
      <c r="E112" s="10"/>
      <c r="F112" s="10"/>
      <c r="G112" s="10"/>
      <c r="H112" s="10"/>
      <c r="I112" s="10"/>
      <c r="J112" s="10"/>
      <c r="K112" s="10"/>
      <c r="L112" s="11"/>
      <c r="M112" s="98">
        <v>107</v>
      </c>
      <c r="N112" s="99">
        <f t="shared" si="47"/>
        <v>9.6500000000000002E-2</v>
      </c>
      <c r="O112" s="100">
        <f t="shared" si="54"/>
        <v>0</v>
      </c>
      <c r="P112" s="101">
        <f t="shared" si="48"/>
        <v>0</v>
      </c>
      <c r="Q112" s="101">
        <f t="shared" si="49"/>
        <v>0</v>
      </c>
      <c r="R112" s="101">
        <f t="shared" si="50"/>
        <v>0</v>
      </c>
      <c r="S112" s="101">
        <f t="shared" si="37"/>
        <v>0</v>
      </c>
      <c r="T112" s="101"/>
      <c r="U112" s="101">
        <f>IF('Simulador CH BX+'!$D$18="Monto de crédito",$F$11*$F$15,O112*$F$15)</f>
        <v>0</v>
      </c>
      <c r="V112" s="101">
        <f>IF('Simulador CH BX+'!$D$17="Valor Destructible",IF(O112-$F$18&lt;0,0,$F$18),IF(M112&gt;$F$8,0,MAX(O112,$F$10)*$F$17))</f>
        <v>0</v>
      </c>
      <c r="W112" s="101">
        <f t="shared" si="51"/>
        <v>0</v>
      </c>
      <c r="X112" s="101">
        <f t="shared" si="52"/>
        <v>0</v>
      </c>
      <c r="Y112" s="102">
        <f>'Simulador CH BX+'!M145</f>
        <v>0</v>
      </c>
      <c r="Z112" s="10"/>
      <c r="AA112" s="149">
        <f t="shared" si="44"/>
        <v>0</v>
      </c>
      <c r="AB112" s="101">
        <f t="shared" si="53"/>
        <v>0</v>
      </c>
      <c r="AC112" s="101">
        <f t="shared" si="38"/>
        <v>0</v>
      </c>
      <c r="AD112" s="101">
        <f t="shared" si="39"/>
        <v>0</v>
      </c>
      <c r="AE112" s="101">
        <f t="shared" si="40"/>
        <v>0</v>
      </c>
      <c r="AF112" s="101">
        <f>IF('Simulador CH BX+'!$D$18="Monto de crédito",$F$11*$F$15,AA112*$F$15)</f>
        <v>0</v>
      </c>
      <c r="AG112" s="101">
        <f>IF('Simulador CH BX+'!$D$17="Valor Destructible",IF(M112&gt;$F$8,0,$F$20),IF(M112&gt;$F$8,0,MAX(AA112,$F$10)*$F$19))</f>
        <v>0</v>
      </c>
      <c r="AH112" s="101">
        <f t="shared" si="41"/>
        <v>299</v>
      </c>
      <c r="AI112" s="101">
        <f t="shared" si="42"/>
        <v>299</v>
      </c>
      <c r="AJ112" s="361">
        <f t="shared" si="43"/>
        <v>299</v>
      </c>
    </row>
    <row r="113" spans="1:36" s="2" customFormat="1" ht="13.5" customHeight="1" x14ac:dyDescent="0.25">
      <c r="A113" s="10"/>
      <c r="B113" s="10"/>
      <c r="C113" s="10"/>
      <c r="D113" s="18"/>
      <c r="E113" s="10"/>
      <c r="F113" s="10"/>
      <c r="G113" s="10"/>
      <c r="H113" s="10"/>
      <c r="I113" s="10"/>
      <c r="J113" s="10"/>
      <c r="K113" s="10"/>
      <c r="L113" s="11"/>
      <c r="M113" s="103">
        <v>108</v>
      </c>
      <c r="N113" s="104">
        <f t="shared" si="47"/>
        <v>9.6500000000000002E-2</v>
      </c>
      <c r="O113" s="105">
        <f t="shared" si="54"/>
        <v>0</v>
      </c>
      <c r="P113" s="106">
        <f t="shared" si="48"/>
        <v>0</v>
      </c>
      <c r="Q113" s="106">
        <f t="shared" si="49"/>
        <v>0</v>
      </c>
      <c r="R113" s="106">
        <f t="shared" si="50"/>
        <v>0</v>
      </c>
      <c r="S113" s="106">
        <f t="shared" si="37"/>
        <v>0</v>
      </c>
      <c r="T113" s="106">
        <f>$F$24</f>
        <v>0</v>
      </c>
      <c r="U113" s="106">
        <f>IF('Simulador CH BX+'!$D$18="Monto de crédito",$F$11*$F$15,O113*$F$15)</f>
        <v>0</v>
      </c>
      <c r="V113" s="106">
        <f>IF('Simulador CH BX+'!$D$17="Valor Destructible",IF(O113-$F$18&lt;0,0,$F$18),IF(M113&gt;$F$8,0,MAX(O113,$F$10)*$F$17))</f>
        <v>0</v>
      </c>
      <c r="W113" s="106">
        <f t="shared" si="51"/>
        <v>0</v>
      </c>
      <c r="X113" s="106">
        <f t="shared" si="52"/>
        <v>0</v>
      </c>
      <c r="Y113" s="107">
        <f>'Simulador CH BX+'!M146</f>
        <v>0</v>
      </c>
      <c r="Z113" s="10"/>
      <c r="AA113" s="150">
        <f t="shared" si="44"/>
        <v>0</v>
      </c>
      <c r="AB113" s="106">
        <f t="shared" si="53"/>
        <v>0</v>
      </c>
      <c r="AC113" s="106">
        <f t="shared" si="38"/>
        <v>0</v>
      </c>
      <c r="AD113" s="106">
        <f t="shared" si="39"/>
        <v>0</v>
      </c>
      <c r="AE113" s="106">
        <f t="shared" si="40"/>
        <v>0</v>
      </c>
      <c r="AF113" s="106">
        <f>IF('Simulador CH BX+'!$D$18="Monto de crédito",$F$11*$F$15,AA113*$F$15)</f>
        <v>0</v>
      </c>
      <c r="AG113" s="106">
        <f>IF('Simulador CH BX+'!$D$17="Valor Destructible",IF(M113&gt;$F$8,0,$F$20),IF(M113&gt;$F$8,0,MAX(AA113,$F$10)*$F$19))</f>
        <v>0</v>
      </c>
      <c r="AH113" s="106">
        <f t="shared" si="41"/>
        <v>299</v>
      </c>
      <c r="AI113" s="106">
        <f t="shared" si="42"/>
        <v>299</v>
      </c>
      <c r="AJ113" s="362">
        <f t="shared" si="43"/>
        <v>299</v>
      </c>
    </row>
    <row r="114" spans="1:36" s="2" customFormat="1" ht="13.5" customHeight="1" x14ac:dyDescent="0.25">
      <c r="A114" s="10"/>
      <c r="B114" s="10"/>
      <c r="C114" s="10"/>
      <c r="D114" s="18"/>
      <c r="E114" s="10"/>
      <c r="F114" s="10"/>
      <c r="G114" s="10"/>
      <c r="H114" s="10"/>
      <c r="I114" s="10"/>
      <c r="J114" s="10"/>
      <c r="K114" s="10"/>
      <c r="L114" s="11"/>
      <c r="M114" s="98">
        <v>109</v>
      </c>
      <c r="N114" s="99">
        <f t="shared" ref="N114:N125" si="55">C$28</f>
        <v>9.6500000000000002E-2</v>
      </c>
      <c r="O114" s="100">
        <f t="shared" si="54"/>
        <v>0</v>
      </c>
      <c r="P114" s="101">
        <f t="shared" si="48"/>
        <v>0</v>
      </c>
      <c r="Q114" s="101">
        <f t="shared" si="49"/>
        <v>0</v>
      </c>
      <c r="R114" s="101">
        <f t="shared" si="50"/>
        <v>0</v>
      </c>
      <c r="S114" s="101">
        <f t="shared" si="37"/>
        <v>0</v>
      </c>
      <c r="T114" s="101"/>
      <c r="U114" s="101">
        <f>IF('Simulador CH BX+'!$D$18="Monto de crédito",$F$11*$F$15,O114*$F$15)</f>
        <v>0</v>
      </c>
      <c r="V114" s="101">
        <f>IF('Simulador CH BX+'!$D$17="Valor Destructible",IF(O114-$F$18&lt;0,0,$F$18),IF(M114&gt;$F$8,0,MAX(O114,$F$10)*$F$17))</f>
        <v>0</v>
      </c>
      <c r="W114" s="101">
        <f t="shared" si="51"/>
        <v>0</v>
      </c>
      <c r="X114" s="101">
        <f t="shared" si="52"/>
        <v>0</v>
      </c>
      <c r="Y114" s="102">
        <f>'Simulador CH BX+'!M147</f>
        <v>0</v>
      </c>
      <c r="Z114" s="10"/>
      <c r="AA114" s="149">
        <f t="shared" si="44"/>
        <v>0</v>
      </c>
      <c r="AB114" s="101">
        <f t="shared" si="53"/>
        <v>0</v>
      </c>
      <c r="AC114" s="101">
        <f t="shared" si="38"/>
        <v>0</v>
      </c>
      <c r="AD114" s="101">
        <f t="shared" si="39"/>
        <v>0</v>
      </c>
      <c r="AE114" s="101">
        <f t="shared" si="40"/>
        <v>0</v>
      </c>
      <c r="AF114" s="101">
        <f>IF('Simulador CH BX+'!$D$18="Monto de crédito",$F$11*$F$15,AA114*$F$15)</f>
        <v>0</v>
      </c>
      <c r="AG114" s="101">
        <f>IF('Simulador CH BX+'!$D$17="Valor Destructible",IF(M114&gt;$F$8,0,$F$20),IF(M114&gt;$F$8,0,MAX(AA114,$F$10)*$F$19))</f>
        <v>0</v>
      </c>
      <c r="AH114" s="101">
        <f t="shared" si="41"/>
        <v>299</v>
      </c>
      <c r="AI114" s="101">
        <f t="shared" si="42"/>
        <v>299</v>
      </c>
      <c r="AJ114" s="361">
        <f t="shared" si="43"/>
        <v>299</v>
      </c>
    </row>
    <row r="115" spans="1:36" s="2" customFormat="1" ht="13.5" customHeight="1" x14ac:dyDescent="0.25">
      <c r="A115" s="10"/>
      <c r="B115" s="10"/>
      <c r="C115" s="10"/>
      <c r="D115" s="18"/>
      <c r="E115" s="10"/>
      <c r="F115" s="10"/>
      <c r="G115" s="10"/>
      <c r="H115" s="10"/>
      <c r="I115" s="10"/>
      <c r="J115" s="10"/>
      <c r="K115" s="10"/>
      <c r="L115" s="11"/>
      <c r="M115" s="98">
        <v>110</v>
      </c>
      <c r="N115" s="99">
        <f t="shared" si="55"/>
        <v>9.6500000000000002E-2</v>
      </c>
      <c r="O115" s="100">
        <f t="shared" si="54"/>
        <v>0</v>
      </c>
      <c r="P115" s="101">
        <f t="shared" si="48"/>
        <v>0</v>
      </c>
      <c r="Q115" s="101">
        <f t="shared" si="49"/>
        <v>0</v>
      </c>
      <c r="R115" s="101">
        <f t="shared" si="50"/>
        <v>0</v>
      </c>
      <c r="S115" s="101">
        <f t="shared" si="37"/>
        <v>0</v>
      </c>
      <c r="T115" s="101"/>
      <c r="U115" s="101">
        <f>IF('Simulador CH BX+'!$D$18="Monto de crédito",$F$11*$F$15,O115*$F$15)</f>
        <v>0</v>
      </c>
      <c r="V115" s="101">
        <f>IF('Simulador CH BX+'!$D$17="Valor Destructible",IF(O115-$F$18&lt;0,0,$F$18),IF(M115&gt;$F$8,0,MAX(O115,$F$10)*$F$17))</f>
        <v>0</v>
      </c>
      <c r="W115" s="101">
        <f t="shared" si="51"/>
        <v>0</v>
      </c>
      <c r="X115" s="101">
        <f t="shared" si="52"/>
        <v>0</v>
      </c>
      <c r="Y115" s="102">
        <f>'Simulador CH BX+'!M148</f>
        <v>0</v>
      </c>
      <c r="Z115" s="10"/>
      <c r="AA115" s="149">
        <f t="shared" si="44"/>
        <v>0</v>
      </c>
      <c r="AB115" s="101">
        <f t="shared" si="53"/>
        <v>0</v>
      </c>
      <c r="AC115" s="101">
        <f t="shared" si="38"/>
        <v>0</v>
      </c>
      <c r="AD115" s="101">
        <f t="shared" si="39"/>
        <v>0</v>
      </c>
      <c r="AE115" s="101">
        <f t="shared" si="40"/>
        <v>0</v>
      </c>
      <c r="AF115" s="101">
        <f>IF('Simulador CH BX+'!$D$18="Monto de crédito",$F$11*$F$15,AA115*$F$15)</f>
        <v>0</v>
      </c>
      <c r="AG115" s="101">
        <f>IF('Simulador CH BX+'!$D$17="Valor Destructible",IF(M115&gt;$F$8,0,$F$20),IF(M115&gt;$F$8,0,MAX(AA115,$F$10)*$F$19))</f>
        <v>0</v>
      </c>
      <c r="AH115" s="101">
        <f t="shared" si="41"/>
        <v>299</v>
      </c>
      <c r="AI115" s="101">
        <f t="shared" si="42"/>
        <v>299</v>
      </c>
      <c r="AJ115" s="361">
        <f t="shared" si="43"/>
        <v>299</v>
      </c>
    </row>
    <row r="116" spans="1:36" s="2" customFormat="1" ht="13.5" customHeight="1" x14ac:dyDescent="0.25">
      <c r="A116" s="10"/>
      <c r="B116" s="10"/>
      <c r="C116" s="10"/>
      <c r="D116" s="18"/>
      <c r="E116" s="10"/>
      <c r="F116" s="10"/>
      <c r="G116" s="10"/>
      <c r="H116" s="10"/>
      <c r="I116" s="10"/>
      <c r="J116" s="10"/>
      <c r="K116" s="10"/>
      <c r="L116" s="11"/>
      <c r="M116" s="98">
        <v>111</v>
      </c>
      <c r="N116" s="99">
        <f t="shared" si="55"/>
        <v>9.6500000000000002E-2</v>
      </c>
      <c r="O116" s="100">
        <f t="shared" si="54"/>
        <v>0</v>
      </c>
      <c r="P116" s="101">
        <f t="shared" si="48"/>
        <v>0</v>
      </c>
      <c r="Q116" s="101">
        <f t="shared" si="49"/>
        <v>0</v>
      </c>
      <c r="R116" s="101">
        <f t="shared" si="50"/>
        <v>0</v>
      </c>
      <c r="S116" s="101">
        <f t="shared" si="37"/>
        <v>0</v>
      </c>
      <c r="T116" s="101"/>
      <c r="U116" s="101">
        <f>IF('Simulador CH BX+'!$D$18="Monto de crédito",$F$11*$F$15,O116*$F$15)</f>
        <v>0</v>
      </c>
      <c r="V116" s="101">
        <f>IF('Simulador CH BX+'!$D$17="Valor Destructible",IF(O116-$F$18&lt;0,0,$F$18),IF(M116&gt;$F$8,0,MAX(O116,$F$10)*$F$17))</f>
        <v>0</v>
      </c>
      <c r="W116" s="101">
        <f t="shared" si="51"/>
        <v>0</v>
      </c>
      <c r="X116" s="101">
        <f t="shared" si="52"/>
        <v>0</v>
      </c>
      <c r="Y116" s="102">
        <f>'Simulador CH BX+'!M149</f>
        <v>0</v>
      </c>
      <c r="Z116" s="10"/>
      <c r="AA116" s="149">
        <f t="shared" si="44"/>
        <v>0</v>
      </c>
      <c r="AB116" s="101">
        <f t="shared" si="53"/>
        <v>0</v>
      </c>
      <c r="AC116" s="101">
        <f t="shared" si="38"/>
        <v>0</v>
      </c>
      <c r="AD116" s="101">
        <f t="shared" si="39"/>
        <v>0</v>
      </c>
      <c r="AE116" s="101">
        <f t="shared" si="40"/>
        <v>0</v>
      </c>
      <c r="AF116" s="101">
        <f>IF('Simulador CH BX+'!$D$18="Monto de crédito",$F$11*$F$15,AA116*$F$15)</f>
        <v>0</v>
      </c>
      <c r="AG116" s="101">
        <f>IF('Simulador CH BX+'!$D$17="Valor Destructible",IF(M116&gt;$F$8,0,$F$20),IF(M116&gt;$F$8,0,MAX(AA116,$F$10)*$F$19))</f>
        <v>0</v>
      </c>
      <c r="AH116" s="101">
        <f t="shared" si="41"/>
        <v>299</v>
      </c>
      <c r="AI116" s="101">
        <f t="shared" si="42"/>
        <v>299</v>
      </c>
      <c r="AJ116" s="361">
        <f t="shared" si="43"/>
        <v>299</v>
      </c>
    </row>
    <row r="117" spans="1:36" s="2" customFormat="1" ht="13.5" customHeight="1" x14ac:dyDescent="0.25">
      <c r="A117" s="10"/>
      <c r="B117" s="10"/>
      <c r="C117" s="10"/>
      <c r="D117" s="18"/>
      <c r="E117" s="10"/>
      <c r="F117" s="10"/>
      <c r="G117" s="10"/>
      <c r="H117" s="10"/>
      <c r="I117" s="10"/>
      <c r="J117" s="10"/>
      <c r="K117" s="10"/>
      <c r="L117" s="11"/>
      <c r="M117" s="98">
        <v>112</v>
      </c>
      <c r="N117" s="99">
        <f t="shared" si="55"/>
        <v>9.6500000000000002E-2</v>
      </c>
      <c r="O117" s="100">
        <f t="shared" si="54"/>
        <v>0</v>
      </c>
      <c r="P117" s="101">
        <f t="shared" si="48"/>
        <v>0</v>
      </c>
      <c r="Q117" s="101">
        <f t="shared" si="49"/>
        <v>0</v>
      </c>
      <c r="R117" s="101">
        <f t="shared" si="50"/>
        <v>0</v>
      </c>
      <c r="S117" s="101">
        <f t="shared" si="37"/>
        <v>0</v>
      </c>
      <c r="T117" s="101"/>
      <c r="U117" s="101">
        <f>IF('Simulador CH BX+'!$D$18="Monto de crédito",$F$11*$F$15,O117*$F$15)</f>
        <v>0</v>
      </c>
      <c r="V117" s="101">
        <f>IF('Simulador CH BX+'!$D$17="Valor Destructible",IF(O117-$F$18&lt;0,0,$F$18),IF(M117&gt;$F$8,0,MAX(O117,$F$10)*$F$17))</f>
        <v>0</v>
      </c>
      <c r="W117" s="101">
        <f t="shared" si="51"/>
        <v>0</v>
      </c>
      <c r="X117" s="101">
        <f t="shared" si="52"/>
        <v>0</v>
      </c>
      <c r="Y117" s="102">
        <f>'Simulador CH BX+'!M150</f>
        <v>0</v>
      </c>
      <c r="Z117" s="10"/>
      <c r="AA117" s="149">
        <f t="shared" si="44"/>
        <v>0</v>
      </c>
      <c r="AB117" s="101">
        <f t="shared" si="53"/>
        <v>0</v>
      </c>
      <c r="AC117" s="101">
        <f t="shared" si="38"/>
        <v>0</v>
      </c>
      <c r="AD117" s="101">
        <f t="shared" si="39"/>
        <v>0</v>
      </c>
      <c r="AE117" s="101">
        <f t="shared" si="40"/>
        <v>0</v>
      </c>
      <c r="AF117" s="101">
        <f>IF('Simulador CH BX+'!$D$18="Monto de crédito",$F$11*$F$15,AA117*$F$15)</f>
        <v>0</v>
      </c>
      <c r="AG117" s="101">
        <f>IF('Simulador CH BX+'!$D$17="Valor Destructible",IF(M117&gt;$F$8,0,$F$20),IF(M117&gt;$F$8,0,MAX(AA117,$F$10)*$F$19))</f>
        <v>0</v>
      </c>
      <c r="AH117" s="101">
        <f t="shared" si="41"/>
        <v>299</v>
      </c>
      <c r="AI117" s="101">
        <f t="shared" si="42"/>
        <v>299</v>
      </c>
      <c r="AJ117" s="361">
        <f t="shared" si="43"/>
        <v>299</v>
      </c>
    </row>
    <row r="118" spans="1:36" s="2" customFormat="1" ht="13.5" customHeight="1" x14ac:dyDescent="0.25">
      <c r="A118" s="10"/>
      <c r="B118" s="10"/>
      <c r="C118" s="10"/>
      <c r="D118" s="18"/>
      <c r="E118" s="10"/>
      <c r="F118" s="10"/>
      <c r="G118" s="10"/>
      <c r="H118" s="10"/>
      <c r="I118" s="10"/>
      <c r="J118" s="10"/>
      <c r="K118" s="10"/>
      <c r="L118" s="11"/>
      <c r="M118" s="98">
        <v>113</v>
      </c>
      <c r="N118" s="99">
        <f t="shared" si="55"/>
        <v>9.6500000000000002E-2</v>
      </c>
      <c r="O118" s="100">
        <f t="shared" si="54"/>
        <v>0</v>
      </c>
      <c r="P118" s="101">
        <f t="shared" si="48"/>
        <v>0</v>
      </c>
      <c r="Q118" s="101">
        <f t="shared" si="49"/>
        <v>0</v>
      </c>
      <c r="R118" s="101">
        <f t="shared" si="50"/>
        <v>0</v>
      </c>
      <c r="S118" s="101">
        <f t="shared" si="37"/>
        <v>0</v>
      </c>
      <c r="T118" s="101"/>
      <c r="U118" s="101">
        <f>IF('Simulador CH BX+'!$D$18="Monto de crédito",$F$11*$F$15,O118*$F$15)</f>
        <v>0</v>
      </c>
      <c r="V118" s="101">
        <f>IF('Simulador CH BX+'!$D$17="Valor Destructible",IF(O118-$F$18&lt;0,0,$F$18),IF(M118&gt;$F$8,0,MAX(O118,$F$10)*$F$17))</f>
        <v>0</v>
      </c>
      <c r="W118" s="101">
        <f t="shared" si="51"/>
        <v>0</v>
      </c>
      <c r="X118" s="101">
        <f t="shared" si="52"/>
        <v>0</v>
      </c>
      <c r="Y118" s="102">
        <f>'Simulador CH BX+'!M151</f>
        <v>0</v>
      </c>
      <c r="Z118" s="10"/>
      <c r="AA118" s="149">
        <f t="shared" si="44"/>
        <v>0</v>
      </c>
      <c r="AB118" s="101">
        <f t="shared" si="53"/>
        <v>0</v>
      </c>
      <c r="AC118" s="101">
        <f t="shared" si="38"/>
        <v>0</v>
      </c>
      <c r="AD118" s="101">
        <f t="shared" si="39"/>
        <v>0</v>
      </c>
      <c r="AE118" s="101">
        <f t="shared" si="40"/>
        <v>0</v>
      </c>
      <c r="AF118" s="101">
        <f>IF('Simulador CH BX+'!$D$18="Monto de crédito",$F$11*$F$15,AA118*$F$15)</f>
        <v>0</v>
      </c>
      <c r="AG118" s="101">
        <f>IF('Simulador CH BX+'!$D$17="Valor Destructible",IF(M118&gt;$F$8,0,$F$20),IF(M118&gt;$F$8,0,MAX(AA118,$F$10)*$F$19))</f>
        <v>0</v>
      </c>
      <c r="AH118" s="101">
        <f t="shared" si="41"/>
        <v>299</v>
      </c>
      <c r="AI118" s="101">
        <f t="shared" si="42"/>
        <v>299</v>
      </c>
      <c r="AJ118" s="361">
        <f t="shared" si="43"/>
        <v>299</v>
      </c>
    </row>
    <row r="119" spans="1:36" s="2" customFormat="1" ht="13.5" customHeight="1" x14ac:dyDescent="0.25">
      <c r="A119" s="10"/>
      <c r="B119" s="10"/>
      <c r="C119" s="10"/>
      <c r="D119" s="18"/>
      <c r="E119" s="10"/>
      <c r="F119" s="10"/>
      <c r="G119" s="10"/>
      <c r="H119" s="10"/>
      <c r="I119" s="10"/>
      <c r="J119" s="10"/>
      <c r="K119" s="10"/>
      <c r="L119" s="11"/>
      <c r="M119" s="98">
        <v>114</v>
      </c>
      <c r="N119" s="99">
        <f t="shared" si="55"/>
        <v>9.6500000000000002E-2</v>
      </c>
      <c r="O119" s="100">
        <f t="shared" si="54"/>
        <v>0</v>
      </c>
      <c r="P119" s="101">
        <f t="shared" si="48"/>
        <v>0</v>
      </c>
      <c r="Q119" s="101">
        <f t="shared" si="49"/>
        <v>0</v>
      </c>
      <c r="R119" s="101">
        <f t="shared" si="50"/>
        <v>0</v>
      </c>
      <c r="S119" s="101">
        <f t="shared" si="37"/>
        <v>0</v>
      </c>
      <c r="T119" s="101"/>
      <c r="U119" s="101">
        <f>IF('Simulador CH BX+'!$D$18="Monto de crédito",$F$11*$F$15,O119*$F$15)</f>
        <v>0</v>
      </c>
      <c r="V119" s="101">
        <f>IF('Simulador CH BX+'!$D$17="Valor Destructible",IF(O119-$F$18&lt;0,0,$F$18),IF(M119&gt;$F$8,0,MAX(O119,$F$10)*$F$17))</f>
        <v>0</v>
      </c>
      <c r="W119" s="101">
        <f t="shared" si="51"/>
        <v>0</v>
      </c>
      <c r="X119" s="101">
        <f t="shared" si="52"/>
        <v>0</v>
      </c>
      <c r="Y119" s="102">
        <f>'Simulador CH BX+'!M152</f>
        <v>0</v>
      </c>
      <c r="Z119" s="10"/>
      <c r="AA119" s="149">
        <f t="shared" si="44"/>
        <v>0</v>
      </c>
      <c r="AB119" s="101">
        <f t="shared" si="53"/>
        <v>0</v>
      </c>
      <c r="AC119" s="101">
        <f t="shared" si="38"/>
        <v>0</v>
      </c>
      <c r="AD119" s="101">
        <f t="shared" si="39"/>
        <v>0</v>
      </c>
      <c r="AE119" s="101">
        <f t="shared" si="40"/>
        <v>0</v>
      </c>
      <c r="AF119" s="101">
        <f>IF('Simulador CH BX+'!$D$18="Monto de crédito",$F$11*$F$15,AA119*$F$15)</f>
        <v>0</v>
      </c>
      <c r="AG119" s="101">
        <f>IF('Simulador CH BX+'!$D$17="Valor Destructible",IF(M119&gt;$F$8,0,$F$20),IF(M119&gt;$F$8,0,MAX(AA119,$F$10)*$F$19))</f>
        <v>0</v>
      </c>
      <c r="AH119" s="101">
        <f t="shared" si="41"/>
        <v>299</v>
      </c>
      <c r="AI119" s="101">
        <f t="shared" si="42"/>
        <v>299</v>
      </c>
      <c r="AJ119" s="361">
        <f t="shared" si="43"/>
        <v>299</v>
      </c>
    </row>
    <row r="120" spans="1:36" s="2" customFormat="1" ht="13.5" customHeight="1" x14ac:dyDescent="0.25">
      <c r="A120" s="10"/>
      <c r="B120" s="10"/>
      <c r="C120" s="10"/>
      <c r="D120" s="18"/>
      <c r="E120" s="10"/>
      <c r="F120" s="10"/>
      <c r="G120" s="10"/>
      <c r="H120" s="10"/>
      <c r="I120" s="10"/>
      <c r="J120" s="10"/>
      <c r="K120" s="10"/>
      <c r="L120" s="11"/>
      <c r="M120" s="98">
        <v>115</v>
      </c>
      <c r="N120" s="99">
        <f t="shared" si="55"/>
        <v>9.6500000000000002E-2</v>
      </c>
      <c r="O120" s="100">
        <f t="shared" si="54"/>
        <v>0</v>
      </c>
      <c r="P120" s="101">
        <f t="shared" si="48"/>
        <v>0</v>
      </c>
      <c r="Q120" s="101">
        <f t="shared" si="49"/>
        <v>0</v>
      </c>
      <c r="R120" s="101">
        <f t="shared" si="50"/>
        <v>0</v>
      </c>
      <c r="S120" s="101">
        <f t="shared" si="37"/>
        <v>0</v>
      </c>
      <c r="T120" s="101"/>
      <c r="U120" s="101">
        <f>IF('Simulador CH BX+'!$D$18="Monto de crédito",$F$11*$F$15,O120*$F$15)</f>
        <v>0</v>
      </c>
      <c r="V120" s="101">
        <f>IF('Simulador CH BX+'!$D$17="Valor Destructible",IF(O120-$F$18&lt;0,0,$F$18),IF(M120&gt;$F$8,0,MAX(O120,$F$10)*$F$17))</f>
        <v>0</v>
      </c>
      <c r="W120" s="101">
        <f t="shared" si="51"/>
        <v>0</v>
      </c>
      <c r="X120" s="101">
        <f t="shared" si="52"/>
        <v>0</v>
      </c>
      <c r="Y120" s="102">
        <f>'Simulador CH BX+'!M153</f>
        <v>0</v>
      </c>
      <c r="Z120" s="10"/>
      <c r="AA120" s="149">
        <f t="shared" si="44"/>
        <v>0</v>
      </c>
      <c r="AB120" s="101">
        <f t="shared" si="53"/>
        <v>0</v>
      </c>
      <c r="AC120" s="101">
        <f t="shared" si="38"/>
        <v>0</v>
      </c>
      <c r="AD120" s="101">
        <f t="shared" si="39"/>
        <v>0</v>
      </c>
      <c r="AE120" s="101">
        <f t="shared" si="40"/>
        <v>0</v>
      </c>
      <c r="AF120" s="101">
        <f>IF('Simulador CH BX+'!$D$18="Monto de crédito",$F$11*$F$15,AA120*$F$15)</f>
        <v>0</v>
      </c>
      <c r="AG120" s="101">
        <f>IF('Simulador CH BX+'!$D$17="Valor Destructible",IF(M120&gt;$F$8,0,$F$20),IF(M120&gt;$F$8,0,MAX(AA120,$F$10)*$F$19))</f>
        <v>0</v>
      </c>
      <c r="AH120" s="101">
        <f t="shared" si="41"/>
        <v>299</v>
      </c>
      <c r="AI120" s="101">
        <f t="shared" si="42"/>
        <v>299</v>
      </c>
      <c r="AJ120" s="361">
        <f t="shared" si="43"/>
        <v>299</v>
      </c>
    </row>
    <row r="121" spans="1:36" s="2" customFormat="1" ht="13.5" customHeight="1" x14ac:dyDescent="0.25">
      <c r="A121" s="10"/>
      <c r="B121" s="10"/>
      <c r="C121" s="10"/>
      <c r="D121" s="18"/>
      <c r="E121" s="10"/>
      <c r="F121" s="10"/>
      <c r="G121" s="10"/>
      <c r="H121" s="10"/>
      <c r="I121" s="10"/>
      <c r="J121" s="10"/>
      <c r="K121" s="10"/>
      <c r="L121" s="11"/>
      <c r="M121" s="98">
        <v>116</v>
      </c>
      <c r="N121" s="99">
        <f t="shared" si="55"/>
        <v>9.6500000000000002E-2</v>
      </c>
      <c r="O121" s="100">
        <f t="shared" si="54"/>
        <v>0</v>
      </c>
      <c r="P121" s="101">
        <f t="shared" si="48"/>
        <v>0</v>
      </c>
      <c r="Q121" s="101">
        <f t="shared" si="49"/>
        <v>0</v>
      </c>
      <c r="R121" s="101">
        <f t="shared" si="50"/>
        <v>0</v>
      </c>
      <c r="S121" s="101">
        <f t="shared" si="37"/>
        <v>0</v>
      </c>
      <c r="T121" s="101"/>
      <c r="U121" s="101">
        <f>IF('Simulador CH BX+'!$D$18="Monto de crédito",$F$11*$F$15,O121*$F$15)</f>
        <v>0</v>
      </c>
      <c r="V121" s="101">
        <f>IF('Simulador CH BX+'!$D$17="Valor Destructible",IF(O121-$F$18&lt;0,0,$F$18),IF(M121&gt;$F$8,0,MAX(O121,$F$10)*$F$17))</f>
        <v>0</v>
      </c>
      <c r="W121" s="101">
        <f t="shared" si="51"/>
        <v>0</v>
      </c>
      <c r="X121" s="101">
        <f t="shared" si="52"/>
        <v>0</v>
      </c>
      <c r="Y121" s="102">
        <f>'Simulador CH BX+'!M154</f>
        <v>0</v>
      </c>
      <c r="Z121" s="10"/>
      <c r="AA121" s="149">
        <f t="shared" si="44"/>
        <v>0</v>
      </c>
      <c r="AB121" s="101">
        <f t="shared" si="53"/>
        <v>0</v>
      </c>
      <c r="AC121" s="101">
        <f t="shared" si="38"/>
        <v>0</v>
      </c>
      <c r="AD121" s="101">
        <f t="shared" si="39"/>
        <v>0</v>
      </c>
      <c r="AE121" s="101">
        <f t="shared" si="40"/>
        <v>0</v>
      </c>
      <c r="AF121" s="101">
        <f>IF('Simulador CH BX+'!$D$18="Monto de crédito",$F$11*$F$15,AA121*$F$15)</f>
        <v>0</v>
      </c>
      <c r="AG121" s="101">
        <f>IF('Simulador CH BX+'!$D$17="Valor Destructible",IF(M121&gt;$F$8,0,$F$20),IF(M121&gt;$F$8,0,MAX(AA121,$F$10)*$F$19))</f>
        <v>0</v>
      </c>
      <c r="AH121" s="101">
        <f t="shared" si="41"/>
        <v>299</v>
      </c>
      <c r="AI121" s="101">
        <f t="shared" si="42"/>
        <v>299</v>
      </c>
      <c r="AJ121" s="361">
        <f t="shared" si="43"/>
        <v>299</v>
      </c>
    </row>
    <row r="122" spans="1:36" s="2" customFormat="1" ht="13.5" customHeight="1" x14ac:dyDescent="0.25">
      <c r="A122" s="10"/>
      <c r="B122" s="10"/>
      <c r="C122" s="10"/>
      <c r="D122" s="18"/>
      <c r="E122" s="10"/>
      <c r="F122" s="10"/>
      <c r="G122" s="10"/>
      <c r="H122" s="10"/>
      <c r="I122" s="10"/>
      <c r="J122" s="10"/>
      <c r="K122" s="10"/>
      <c r="L122" s="11"/>
      <c r="M122" s="98">
        <v>117</v>
      </c>
      <c r="N122" s="99">
        <f t="shared" si="55"/>
        <v>9.6500000000000002E-2</v>
      </c>
      <c r="O122" s="100">
        <f t="shared" si="54"/>
        <v>0</v>
      </c>
      <c r="P122" s="101">
        <f t="shared" si="48"/>
        <v>0</v>
      </c>
      <c r="Q122" s="101">
        <f t="shared" si="49"/>
        <v>0</v>
      </c>
      <c r="R122" s="101">
        <f t="shared" si="50"/>
        <v>0</v>
      </c>
      <c r="S122" s="101">
        <f t="shared" si="37"/>
        <v>0</v>
      </c>
      <c r="T122" s="101"/>
      <c r="U122" s="101">
        <f>IF('Simulador CH BX+'!$D$18="Monto de crédito",$F$11*$F$15,O122*$F$15)</f>
        <v>0</v>
      </c>
      <c r="V122" s="101">
        <f>IF('Simulador CH BX+'!$D$17="Valor Destructible",IF(O122-$F$18&lt;0,0,$F$18),IF(M122&gt;$F$8,0,MAX(O122,$F$10)*$F$17))</f>
        <v>0</v>
      </c>
      <c r="W122" s="101">
        <f t="shared" si="51"/>
        <v>0</v>
      </c>
      <c r="X122" s="101">
        <f t="shared" si="52"/>
        <v>0</v>
      </c>
      <c r="Y122" s="102">
        <f>'Simulador CH BX+'!M155</f>
        <v>0</v>
      </c>
      <c r="Z122" s="10"/>
      <c r="AA122" s="149">
        <f t="shared" si="44"/>
        <v>0</v>
      </c>
      <c r="AB122" s="101">
        <f t="shared" si="53"/>
        <v>0</v>
      </c>
      <c r="AC122" s="101">
        <f t="shared" si="38"/>
        <v>0</v>
      </c>
      <c r="AD122" s="101">
        <f t="shared" si="39"/>
        <v>0</v>
      </c>
      <c r="AE122" s="101">
        <f t="shared" si="40"/>
        <v>0</v>
      </c>
      <c r="AF122" s="101">
        <f>IF('Simulador CH BX+'!$D$18="Monto de crédito",$F$11*$F$15,AA122*$F$15)</f>
        <v>0</v>
      </c>
      <c r="AG122" s="101">
        <f>IF('Simulador CH BX+'!$D$17="Valor Destructible",IF(M122&gt;$F$8,0,$F$20),IF(M122&gt;$F$8,0,MAX(AA122,$F$10)*$F$19))</f>
        <v>0</v>
      </c>
      <c r="AH122" s="101">
        <f t="shared" si="41"/>
        <v>299</v>
      </c>
      <c r="AI122" s="101">
        <f t="shared" si="42"/>
        <v>299</v>
      </c>
      <c r="AJ122" s="361">
        <f t="shared" si="43"/>
        <v>299</v>
      </c>
    </row>
    <row r="123" spans="1:36" s="2" customFormat="1" ht="13.5" customHeight="1" x14ac:dyDescent="0.25">
      <c r="A123" s="10"/>
      <c r="B123" s="10"/>
      <c r="C123" s="10"/>
      <c r="D123" s="18"/>
      <c r="E123" s="10"/>
      <c r="F123" s="10"/>
      <c r="G123" s="10"/>
      <c r="H123" s="10"/>
      <c r="I123" s="10"/>
      <c r="J123" s="10"/>
      <c r="K123" s="10"/>
      <c r="L123" s="11"/>
      <c r="M123" s="98">
        <v>118</v>
      </c>
      <c r="N123" s="99">
        <f t="shared" si="55"/>
        <v>9.6500000000000002E-2</v>
      </c>
      <c r="O123" s="100">
        <f t="shared" si="54"/>
        <v>0</v>
      </c>
      <c r="P123" s="101">
        <f t="shared" si="48"/>
        <v>0</v>
      </c>
      <c r="Q123" s="101">
        <f t="shared" si="49"/>
        <v>0</v>
      </c>
      <c r="R123" s="101">
        <f t="shared" si="50"/>
        <v>0</v>
      </c>
      <c r="S123" s="101">
        <f t="shared" si="37"/>
        <v>0</v>
      </c>
      <c r="T123" s="101"/>
      <c r="U123" s="101">
        <f>IF('Simulador CH BX+'!$D$18="Monto de crédito",$F$11*$F$15,O123*$F$15)</f>
        <v>0</v>
      </c>
      <c r="V123" s="101">
        <f>IF('Simulador CH BX+'!$D$17="Valor Destructible",IF(O123-$F$18&lt;0,0,$F$18),IF(M123&gt;$F$8,0,MAX(O123,$F$10)*$F$17))</f>
        <v>0</v>
      </c>
      <c r="W123" s="101">
        <f t="shared" si="51"/>
        <v>0</v>
      </c>
      <c r="X123" s="101">
        <f t="shared" si="52"/>
        <v>0</v>
      </c>
      <c r="Y123" s="102">
        <f>'Simulador CH BX+'!M156</f>
        <v>0</v>
      </c>
      <c r="Z123" s="10"/>
      <c r="AA123" s="149">
        <f t="shared" si="44"/>
        <v>0</v>
      </c>
      <c r="AB123" s="101">
        <f t="shared" si="53"/>
        <v>0</v>
      </c>
      <c r="AC123" s="101">
        <f t="shared" si="38"/>
        <v>0</v>
      </c>
      <c r="AD123" s="101">
        <f t="shared" si="39"/>
        <v>0</v>
      </c>
      <c r="AE123" s="101">
        <f t="shared" si="40"/>
        <v>0</v>
      </c>
      <c r="AF123" s="101">
        <f>IF('Simulador CH BX+'!$D$18="Monto de crédito",$F$11*$F$15,AA123*$F$15)</f>
        <v>0</v>
      </c>
      <c r="AG123" s="101">
        <f>IF('Simulador CH BX+'!$D$17="Valor Destructible",IF(M123&gt;$F$8,0,$F$20),IF(M123&gt;$F$8,0,MAX(AA123,$F$10)*$F$19))</f>
        <v>0</v>
      </c>
      <c r="AH123" s="101">
        <f t="shared" si="41"/>
        <v>299</v>
      </c>
      <c r="AI123" s="101">
        <f t="shared" si="42"/>
        <v>299</v>
      </c>
      <c r="AJ123" s="361">
        <f t="shared" si="43"/>
        <v>299</v>
      </c>
    </row>
    <row r="124" spans="1:36" s="2" customFormat="1" ht="13.5" customHeight="1" x14ac:dyDescent="0.25">
      <c r="A124" s="10"/>
      <c r="B124" s="10"/>
      <c r="C124" s="10"/>
      <c r="D124" s="18"/>
      <c r="E124" s="10"/>
      <c r="F124" s="10"/>
      <c r="G124" s="10"/>
      <c r="H124" s="10"/>
      <c r="I124" s="10"/>
      <c r="J124" s="10"/>
      <c r="K124" s="10"/>
      <c r="L124" s="11"/>
      <c r="M124" s="98">
        <v>119</v>
      </c>
      <c r="N124" s="99">
        <f t="shared" si="55"/>
        <v>9.6500000000000002E-2</v>
      </c>
      <c r="O124" s="100">
        <f t="shared" si="54"/>
        <v>0</v>
      </c>
      <c r="P124" s="101">
        <f t="shared" si="48"/>
        <v>0</v>
      </c>
      <c r="Q124" s="101">
        <f t="shared" si="49"/>
        <v>0</v>
      </c>
      <c r="R124" s="101">
        <f t="shared" si="50"/>
        <v>0</v>
      </c>
      <c r="S124" s="101">
        <f t="shared" si="37"/>
        <v>0</v>
      </c>
      <c r="T124" s="101"/>
      <c r="U124" s="101">
        <f>IF('Simulador CH BX+'!$D$18="Monto de crédito",$F$11*$F$15,O124*$F$15)</f>
        <v>0</v>
      </c>
      <c r="V124" s="101">
        <f>IF('Simulador CH BX+'!$D$17="Valor Destructible",IF(O124-$F$18&lt;0,0,$F$18),IF(M124&gt;$F$8,0,MAX(O124,$F$10)*$F$17))</f>
        <v>0</v>
      </c>
      <c r="W124" s="101">
        <f t="shared" si="51"/>
        <v>0</v>
      </c>
      <c r="X124" s="101">
        <f t="shared" si="52"/>
        <v>0</v>
      </c>
      <c r="Y124" s="102">
        <f>'Simulador CH BX+'!M157</f>
        <v>0</v>
      </c>
      <c r="Z124" s="10"/>
      <c r="AA124" s="149">
        <f t="shared" si="44"/>
        <v>0</v>
      </c>
      <c r="AB124" s="101">
        <f t="shared" si="53"/>
        <v>0</v>
      </c>
      <c r="AC124" s="101">
        <f t="shared" si="38"/>
        <v>0</v>
      </c>
      <c r="AD124" s="101">
        <f t="shared" si="39"/>
        <v>0</v>
      </c>
      <c r="AE124" s="101">
        <f t="shared" si="40"/>
        <v>0</v>
      </c>
      <c r="AF124" s="101">
        <f>IF('Simulador CH BX+'!$D$18="Monto de crédito",$F$11*$F$15,AA124*$F$15)</f>
        <v>0</v>
      </c>
      <c r="AG124" s="101">
        <f>IF('Simulador CH BX+'!$D$17="Valor Destructible",IF(M124&gt;$F$8,0,$F$20),IF(M124&gt;$F$8,0,MAX(AA124,$F$10)*$F$19))</f>
        <v>0</v>
      </c>
      <c r="AH124" s="101">
        <f t="shared" si="41"/>
        <v>299</v>
      </c>
      <c r="AI124" s="101">
        <f t="shared" si="42"/>
        <v>299</v>
      </c>
      <c r="AJ124" s="361">
        <f t="shared" si="43"/>
        <v>299</v>
      </c>
    </row>
    <row r="125" spans="1:36" s="2" customFormat="1" ht="13.5" customHeight="1" x14ac:dyDescent="0.25">
      <c r="A125" s="10"/>
      <c r="B125" s="10"/>
      <c r="C125" s="10"/>
      <c r="D125" s="18"/>
      <c r="E125" s="10"/>
      <c r="F125" s="10"/>
      <c r="G125" s="10"/>
      <c r="H125" s="10"/>
      <c r="I125" s="10"/>
      <c r="J125" s="10"/>
      <c r="K125" s="10"/>
      <c r="L125" s="11"/>
      <c r="M125" s="103">
        <v>120</v>
      </c>
      <c r="N125" s="104">
        <f t="shared" si="55"/>
        <v>9.6500000000000002E-2</v>
      </c>
      <c r="O125" s="105">
        <f t="shared" si="54"/>
        <v>0</v>
      </c>
      <c r="P125" s="106">
        <f t="shared" si="48"/>
        <v>0</v>
      </c>
      <c r="Q125" s="106">
        <f t="shared" si="49"/>
        <v>0</v>
      </c>
      <c r="R125" s="106">
        <f t="shared" si="50"/>
        <v>0</v>
      </c>
      <c r="S125" s="106">
        <f t="shared" si="37"/>
        <v>0</v>
      </c>
      <c r="T125" s="106">
        <f>$F$24</f>
        <v>0</v>
      </c>
      <c r="U125" s="106">
        <f>IF('Simulador CH BX+'!$D$18="Monto de crédito",$F$11*$F$15,O125*$F$15)</f>
        <v>0</v>
      </c>
      <c r="V125" s="106">
        <f>IF('Simulador CH BX+'!$D$17="Valor Destructible",IF(O125-$F$18&lt;0,0,$F$18),IF(M125&gt;$F$8,0,MAX(O125,$F$10)*$F$17))</f>
        <v>0</v>
      </c>
      <c r="W125" s="106">
        <f t="shared" si="51"/>
        <v>0</v>
      </c>
      <c r="X125" s="106">
        <f t="shared" si="52"/>
        <v>0</v>
      </c>
      <c r="Y125" s="107">
        <f>'Simulador CH BX+'!M158</f>
        <v>0</v>
      </c>
      <c r="Z125" s="10"/>
      <c r="AA125" s="150">
        <f t="shared" si="44"/>
        <v>0</v>
      </c>
      <c r="AB125" s="106">
        <f t="shared" si="53"/>
        <v>0</v>
      </c>
      <c r="AC125" s="106">
        <f t="shared" si="38"/>
        <v>0</v>
      </c>
      <c r="AD125" s="106">
        <f t="shared" si="39"/>
        <v>0</v>
      </c>
      <c r="AE125" s="106">
        <f t="shared" si="40"/>
        <v>0</v>
      </c>
      <c r="AF125" s="106">
        <f>IF('Simulador CH BX+'!$D$18="Monto de crédito",$F$11*$F$15,AA125*$F$15)</f>
        <v>0</v>
      </c>
      <c r="AG125" s="106">
        <f>IF('Simulador CH BX+'!$D$17="Valor Destructible",IF(M125&gt;$F$8,0,$F$20),IF(M125&gt;$F$8,0,MAX(AA125,$F$10)*$F$19))</f>
        <v>0</v>
      </c>
      <c r="AH125" s="106">
        <f t="shared" si="41"/>
        <v>299</v>
      </c>
      <c r="AI125" s="106">
        <f t="shared" si="42"/>
        <v>299</v>
      </c>
      <c r="AJ125" s="362">
        <f t="shared" si="43"/>
        <v>299</v>
      </c>
    </row>
    <row r="126" spans="1:36" s="2" customFormat="1" ht="13.5" customHeight="1" x14ac:dyDescent="0.25">
      <c r="A126" s="10"/>
      <c r="B126" s="10"/>
      <c r="C126" s="10"/>
      <c r="D126" s="18"/>
      <c r="E126" s="10"/>
      <c r="F126" s="10"/>
      <c r="G126" s="10"/>
      <c r="H126" s="10"/>
      <c r="I126" s="10"/>
      <c r="J126" s="10"/>
      <c r="K126" s="10"/>
      <c r="L126" s="11"/>
      <c r="M126" s="98">
        <v>121</v>
      </c>
      <c r="N126" s="99">
        <f t="shared" ref="N126:N137" si="56">C$29</f>
        <v>9.6500000000000002E-2</v>
      </c>
      <c r="O126" s="100">
        <f t="shared" si="54"/>
        <v>0</v>
      </c>
      <c r="P126" s="101">
        <f t="shared" si="48"/>
        <v>0</v>
      </c>
      <c r="Q126" s="101">
        <f t="shared" si="49"/>
        <v>0</v>
      </c>
      <c r="R126" s="101">
        <f t="shared" si="50"/>
        <v>0</v>
      </c>
      <c r="S126" s="101">
        <f t="shared" si="37"/>
        <v>0</v>
      </c>
      <c r="T126" s="101"/>
      <c r="U126" s="101">
        <f>IF('Simulador CH BX+'!$D$18="Monto de crédito",$F$11*$F$15,O126*$F$15)</f>
        <v>0</v>
      </c>
      <c r="V126" s="101">
        <f>IF('Simulador CH BX+'!$D$17="Valor Destructible",IF(O126-$F$18&lt;0,0,$F$18),IF(M126&gt;$F$8,0,MAX(O126,$F$10)*$F$17))</f>
        <v>0</v>
      </c>
      <c r="W126" s="101">
        <f t="shared" si="51"/>
        <v>0</v>
      </c>
      <c r="X126" s="101">
        <f t="shared" si="52"/>
        <v>0</v>
      </c>
      <c r="Y126" s="102">
        <f>'Simulador CH BX+'!M159</f>
        <v>0</v>
      </c>
      <c r="Z126" s="10"/>
      <c r="AA126" s="149">
        <f t="shared" si="44"/>
        <v>0</v>
      </c>
      <c r="AB126" s="101">
        <f t="shared" si="53"/>
        <v>0</v>
      </c>
      <c r="AC126" s="101">
        <f t="shared" si="38"/>
        <v>0</v>
      </c>
      <c r="AD126" s="101">
        <f t="shared" si="39"/>
        <v>0</v>
      </c>
      <c r="AE126" s="101">
        <f t="shared" si="40"/>
        <v>0</v>
      </c>
      <c r="AF126" s="101">
        <f>IF('Simulador CH BX+'!$D$18="Monto de crédito",$F$11*$F$15,AA126*$F$15)</f>
        <v>0</v>
      </c>
      <c r="AG126" s="101">
        <f>IF('Simulador CH BX+'!$D$17="Valor Destructible",IF(M126&gt;$F$8,0,$F$20),IF(M126&gt;$F$8,0,MAX(AA126,$F$10)*$F$19))</f>
        <v>0</v>
      </c>
      <c r="AH126" s="101">
        <f t="shared" si="41"/>
        <v>299</v>
      </c>
      <c r="AI126" s="101">
        <f t="shared" si="42"/>
        <v>299</v>
      </c>
      <c r="AJ126" s="361">
        <f t="shared" si="43"/>
        <v>299</v>
      </c>
    </row>
    <row r="127" spans="1:36" s="2" customFormat="1" ht="13.5" customHeight="1" x14ac:dyDescent="0.25">
      <c r="A127" s="10"/>
      <c r="B127" s="10"/>
      <c r="C127" s="10"/>
      <c r="D127" s="18"/>
      <c r="E127" s="10"/>
      <c r="F127" s="10"/>
      <c r="G127" s="10"/>
      <c r="H127" s="10"/>
      <c r="I127" s="10"/>
      <c r="J127" s="10"/>
      <c r="K127" s="10"/>
      <c r="L127" s="11"/>
      <c r="M127" s="98">
        <v>122</v>
      </c>
      <c r="N127" s="99">
        <f t="shared" si="56"/>
        <v>9.6500000000000002E-2</v>
      </c>
      <c r="O127" s="100">
        <f t="shared" si="54"/>
        <v>0</v>
      </c>
      <c r="P127" s="101">
        <f t="shared" si="48"/>
        <v>0</v>
      </c>
      <c r="Q127" s="101">
        <f t="shared" si="49"/>
        <v>0</v>
      </c>
      <c r="R127" s="101">
        <f t="shared" si="50"/>
        <v>0</v>
      </c>
      <c r="S127" s="101">
        <f t="shared" si="37"/>
        <v>0</v>
      </c>
      <c r="T127" s="101"/>
      <c r="U127" s="101">
        <f>IF('Simulador CH BX+'!$D$18="Monto de crédito",$F$11*$F$15,O127*$F$15)</f>
        <v>0</v>
      </c>
      <c r="V127" s="101">
        <f>IF('Simulador CH BX+'!$D$17="Valor Destructible",IF(O127-$F$18&lt;0,0,$F$18),IF(M127&gt;$F$8,0,MAX(O127,$F$10)*$F$17))</f>
        <v>0</v>
      </c>
      <c r="W127" s="101">
        <f t="shared" si="51"/>
        <v>0</v>
      </c>
      <c r="X127" s="101">
        <f t="shared" si="52"/>
        <v>0</v>
      </c>
      <c r="Y127" s="102">
        <f>'Simulador CH BX+'!M160</f>
        <v>0</v>
      </c>
      <c r="Z127" s="10"/>
      <c r="AA127" s="149">
        <f t="shared" si="44"/>
        <v>0</v>
      </c>
      <c r="AB127" s="101">
        <f t="shared" si="53"/>
        <v>0</v>
      </c>
      <c r="AC127" s="101">
        <f t="shared" si="38"/>
        <v>0</v>
      </c>
      <c r="AD127" s="101">
        <f t="shared" si="39"/>
        <v>0</v>
      </c>
      <c r="AE127" s="101">
        <f t="shared" si="40"/>
        <v>0</v>
      </c>
      <c r="AF127" s="101">
        <f>IF('Simulador CH BX+'!$D$18="Monto de crédito",$F$11*$F$15,AA127*$F$15)</f>
        <v>0</v>
      </c>
      <c r="AG127" s="101">
        <f>IF('Simulador CH BX+'!$D$17="Valor Destructible",IF(M127&gt;$F$8,0,$F$20),IF(M127&gt;$F$8,0,MAX(AA127,$F$10)*$F$19))</f>
        <v>0</v>
      </c>
      <c r="AH127" s="101">
        <f t="shared" si="41"/>
        <v>299</v>
      </c>
      <c r="AI127" s="101">
        <f t="shared" si="42"/>
        <v>299</v>
      </c>
      <c r="AJ127" s="361">
        <f t="shared" si="43"/>
        <v>299</v>
      </c>
    </row>
    <row r="128" spans="1:36" s="2" customFormat="1" ht="13.5" customHeight="1" x14ac:dyDescent="0.25">
      <c r="A128" s="10"/>
      <c r="B128" s="10"/>
      <c r="C128" s="10"/>
      <c r="D128" s="18"/>
      <c r="E128" s="10"/>
      <c r="F128" s="10"/>
      <c r="G128" s="10"/>
      <c r="H128" s="10"/>
      <c r="I128" s="10"/>
      <c r="J128" s="10"/>
      <c r="K128" s="10"/>
      <c r="L128" s="11"/>
      <c r="M128" s="98">
        <v>123</v>
      </c>
      <c r="N128" s="99">
        <f t="shared" si="56"/>
        <v>9.6500000000000002E-2</v>
      </c>
      <c r="O128" s="100">
        <f t="shared" si="54"/>
        <v>0</v>
      </c>
      <c r="P128" s="101">
        <f t="shared" si="48"/>
        <v>0</v>
      </c>
      <c r="Q128" s="101">
        <f t="shared" si="49"/>
        <v>0</v>
      </c>
      <c r="R128" s="101">
        <f t="shared" si="50"/>
        <v>0</v>
      </c>
      <c r="S128" s="101">
        <f t="shared" si="37"/>
        <v>0</v>
      </c>
      <c r="T128" s="101"/>
      <c r="U128" s="101">
        <f>IF('Simulador CH BX+'!$D$18="Monto de crédito",$F$11*$F$15,O128*$F$15)</f>
        <v>0</v>
      </c>
      <c r="V128" s="101">
        <f>IF('Simulador CH BX+'!$D$17="Valor Destructible",IF(O128-$F$18&lt;0,0,$F$18),IF(M128&gt;$F$8,0,MAX(O128,$F$10)*$F$17))</f>
        <v>0</v>
      </c>
      <c r="W128" s="101">
        <f t="shared" si="51"/>
        <v>0</v>
      </c>
      <c r="X128" s="101">
        <f t="shared" si="52"/>
        <v>0</v>
      </c>
      <c r="Y128" s="102">
        <f>'Simulador CH BX+'!M161</f>
        <v>0</v>
      </c>
      <c r="Z128" s="10"/>
      <c r="AA128" s="149">
        <f t="shared" si="44"/>
        <v>0</v>
      </c>
      <c r="AB128" s="101">
        <f t="shared" si="53"/>
        <v>0</v>
      </c>
      <c r="AC128" s="101">
        <f t="shared" si="38"/>
        <v>0</v>
      </c>
      <c r="AD128" s="101">
        <f t="shared" si="39"/>
        <v>0</v>
      </c>
      <c r="AE128" s="101">
        <f t="shared" si="40"/>
        <v>0</v>
      </c>
      <c r="AF128" s="101">
        <f>IF('Simulador CH BX+'!$D$18="Monto de crédito",$F$11*$F$15,AA128*$F$15)</f>
        <v>0</v>
      </c>
      <c r="AG128" s="101">
        <f>IF('Simulador CH BX+'!$D$17="Valor Destructible",IF(M128&gt;$F$8,0,$F$20),IF(M128&gt;$F$8,0,MAX(AA128,$F$10)*$F$19))</f>
        <v>0</v>
      </c>
      <c r="AH128" s="101">
        <f t="shared" si="41"/>
        <v>299</v>
      </c>
      <c r="AI128" s="101">
        <f t="shared" si="42"/>
        <v>299</v>
      </c>
      <c r="AJ128" s="361">
        <f t="shared" si="43"/>
        <v>299</v>
      </c>
    </row>
    <row r="129" spans="1:36" s="2" customFormat="1" ht="13.5" customHeight="1" x14ac:dyDescent="0.25">
      <c r="A129" s="10"/>
      <c r="B129" s="10"/>
      <c r="C129" s="10"/>
      <c r="D129" s="18"/>
      <c r="E129" s="10"/>
      <c r="F129" s="10"/>
      <c r="G129" s="10"/>
      <c r="H129" s="10"/>
      <c r="I129" s="10"/>
      <c r="J129" s="10"/>
      <c r="K129" s="10"/>
      <c r="L129" s="11"/>
      <c r="M129" s="98">
        <v>124</v>
      </c>
      <c r="N129" s="99">
        <f t="shared" si="56"/>
        <v>9.6500000000000002E-2</v>
      </c>
      <c r="O129" s="100">
        <f t="shared" si="54"/>
        <v>0</v>
      </c>
      <c r="P129" s="101">
        <f t="shared" si="48"/>
        <v>0</v>
      </c>
      <c r="Q129" s="101">
        <f t="shared" si="49"/>
        <v>0</v>
      </c>
      <c r="R129" s="101">
        <f t="shared" si="50"/>
        <v>0</v>
      </c>
      <c r="S129" s="101">
        <f t="shared" si="37"/>
        <v>0</v>
      </c>
      <c r="T129" s="101"/>
      <c r="U129" s="101">
        <f>IF('Simulador CH BX+'!$D$18="Monto de crédito",$F$11*$F$15,O129*$F$15)</f>
        <v>0</v>
      </c>
      <c r="V129" s="101">
        <f>IF('Simulador CH BX+'!$D$17="Valor Destructible",IF(O129-$F$18&lt;0,0,$F$18),IF(M129&gt;$F$8,0,MAX(O129,$F$10)*$F$17))</f>
        <v>0</v>
      </c>
      <c r="W129" s="101">
        <f t="shared" si="51"/>
        <v>0</v>
      </c>
      <c r="X129" s="101">
        <f t="shared" si="52"/>
        <v>0</v>
      </c>
      <c r="Y129" s="102">
        <f>'Simulador CH BX+'!M162</f>
        <v>0</v>
      </c>
      <c r="Z129" s="10"/>
      <c r="AA129" s="149">
        <f t="shared" si="44"/>
        <v>0</v>
      </c>
      <c r="AB129" s="101">
        <f t="shared" si="53"/>
        <v>0</v>
      </c>
      <c r="AC129" s="101">
        <f t="shared" si="38"/>
        <v>0</v>
      </c>
      <c r="AD129" s="101">
        <f t="shared" si="39"/>
        <v>0</v>
      </c>
      <c r="AE129" s="101">
        <f t="shared" si="40"/>
        <v>0</v>
      </c>
      <c r="AF129" s="101">
        <f>IF('Simulador CH BX+'!$D$18="Monto de crédito",$F$11*$F$15,AA129*$F$15)</f>
        <v>0</v>
      </c>
      <c r="AG129" s="101">
        <f>IF('Simulador CH BX+'!$D$17="Valor Destructible",IF(M129&gt;$F$8,0,$F$20),IF(M129&gt;$F$8,0,MAX(AA129,$F$10)*$F$19))</f>
        <v>0</v>
      </c>
      <c r="AH129" s="101">
        <f t="shared" si="41"/>
        <v>299</v>
      </c>
      <c r="AI129" s="101">
        <f t="shared" si="42"/>
        <v>299</v>
      </c>
      <c r="AJ129" s="361">
        <f t="shared" si="43"/>
        <v>299</v>
      </c>
    </row>
    <row r="130" spans="1:36" s="2" customFormat="1" ht="13.5" customHeight="1" x14ac:dyDescent="0.25">
      <c r="A130" s="10"/>
      <c r="B130" s="10"/>
      <c r="C130" s="10"/>
      <c r="D130" s="18"/>
      <c r="E130" s="10"/>
      <c r="F130" s="10"/>
      <c r="G130" s="10"/>
      <c r="H130" s="10"/>
      <c r="I130" s="10"/>
      <c r="J130" s="10"/>
      <c r="K130" s="10"/>
      <c r="L130" s="11"/>
      <c r="M130" s="98">
        <v>125</v>
      </c>
      <c r="N130" s="99">
        <f t="shared" si="56"/>
        <v>9.6500000000000002E-2</v>
      </c>
      <c r="O130" s="100">
        <f t="shared" si="54"/>
        <v>0</v>
      </c>
      <c r="P130" s="101">
        <f t="shared" si="48"/>
        <v>0</v>
      </c>
      <c r="Q130" s="101">
        <f t="shared" si="49"/>
        <v>0</v>
      </c>
      <c r="R130" s="101">
        <f t="shared" si="50"/>
        <v>0</v>
      </c>
      <c r="S130" s="101">
        <f t="shared" si="37"/>
        <v>0</v>
      </c>
      <c r="T130" s="101"/>
      <c r="U130" s="101">
        <f>IF('Simulador CH BX+'!$D$18="Monto de crédito",$F$11*$F$15,O130*$F$15)</f>
        <v>0</v>
      </c>
      <c r="V130" s="101">
        <f>IF('Simulador CH BX+'!$D$17="Valor Destructible",IF(O130-$F$18&lt;0,0,$F$18),IF(M130&gt;$F$8,0,MAX(O130,$F$10)*$F$17))</f>
        <v>0</v>
      </c>
      <c r="W130" s="101">
        <f t="shared" si="51"/>
        <v>0</v>
      </c>
      <c r="X130" s="101">
        <f t="shared" si="52"/>
        <v>0</v>
      </c>
      <c r="Y130" s="102">
        <f>'Simulador CH BX+'!M163</f>
        <v>0</v>
      </c>
      <c r="Z130" s="10"/>
      <c r="AA130" s="149">
        <f t="shared" si="44"/>
        <v>0</v>
      </c>
      <c r="AB130" s="101">
        <f t="shared" si="53"/>
        <v>0</v>
      </c>
      <c r="AC130" s="101">
        <f t="shared" si="38"/>
        <v>0</v>
      </c>
      <c r="AD130" s="101">
        <f t="shared" si="39"/>
        <v>0</v>
      </c>
      <c r="AE130" s="101">
        <f t="shared" si="40"/>
        <v>0</v>
      </c>
      <c r="AF130" s="101">
        <f>IF('Simulador CH BX+'!$D$18="Monto de crédito",$F$11*$F$15,AA130*$F$15)</f>
        <v>0</v>
      </c>
      <c r="AG130" s="101">
        <f>IF('Simulador CH BX+'!$D$17="Valor Destructible",IF(M130&gt;$F$8,0,$F$20),IF(M130&gt;$F$8,0,MAX(AA130,$F$10)*$F$19))</f>
        <v>0</v>
      </c>
      <c r="AH130" s="101">
        <f t="shared" si="41"/>
        <v>299</v>
      </c>
      <c r="AI130" s="101">
        <f t="shared" si="42"/>
        <v>299</v>
      </c>
      <c r="AJ130" s="361">
        <f t="shared" si="43"/>
        <v>299</v>
      </c>
    </row>
    <row r="131" spans="1:36" s="2" customFormat="1" ht="13.5" customHeight="1" x14ac:dyDescent="0.25">
      <c r="A131" s="10"/>
      <c r="B131" s="10"/>
      <c r="C131" s="10"/>
      <c r="D131" s="18"/>
      <c r="E131" s="10"/>
      <c r="F131" s="10"/>
      <c r="G131" s="10"/>
      <c r="H131" s="10"/>
      <c r="I131" s="10"/>
      <c r="J131" s="10"/>
      <c r="K131" s="10"/>
      <c r="L131" s="11"/>
      <c r="M131" s="98">
        <v>126</v>
      </c>
      <c r="N131" s="99">
        <f t="shared" si="56"/>
        <v>9.6500000000000002E-2</v>
      </c>
      <c r="O131" s="100">
        <f t="shared" si="54"/>
        <v>0</v>
      </c>
      <c r="P131" s="101">
        <f t="shared" si="48"/>
        <v>0</v>
      </c>
      <c r="Q131" s="101">
        <f t="shared" si="49"/>
        <v>0</v>
      </c>
      <c r="R131" s="101">
        <f t="shared" si="50"/>
        <v>0</v>
      </c>
      <c r="S131" s="101">
        <f t="shared" si="37"/>
        <v>0</v>
      </c>
      <c r="T131" s="101"/>
      <c r="U131" s="101">
        <f>IF('Simulador CH BX+'!$D$18="Monto de crédito",$F$11*$F$15,O131*$F$15)</f>
        <v>0</v>
      </c>
      <c r="V131" s="101">
        <f>IF('Simulador CH BX+'!$D$17="Valor Destructible",IF(O131-$F$18&lt;0,0,$F$18),IF(M131&gt;$F$8,0,MAX(O131,$F$10)*$F$17))</f>
        <v>0</v>
      </c>
      <c r="W131" s="101">
        <f t="shared" si="51"/>
        <v>0</v>
      </c>
      <c r="X131" s="101">
        <f t="shared" si="52"/>
        <v>0</v>
      </c>
      <c r="Y131" s="102">
        <f>'Simulador CH BX+'!M164</f>
        <v>0</v>
      </c>
      <c r="Z131" s="10"/>
      <c r="AA131" s="149">
        <f t="shared" si="44"/>
        <v>0</v>
      </c>
      <c r="AB131" s="101">
        <f t="shared" si="53"/>
        <v>0</v>
      </c>
      <c r="AC131" s="101">
        <f t="shared" si="38"/>
        <v>0</v>
      </c>
      <c r="AD131" s="101">
        <f t="shared" si="39"/>
        <v>0</v>
      </c>
      <c r="AE131" s="101">
        <f t="shared" si="40"/>
        <v>0</v>
      </c>
      <c r="AF131" s="101">
        <f>IF('Simulador CH BX+'!$D$18="Monto de crédito",$F$11*$F$15,AA131*$F$15)</f>
        <v>0</v>
      </c>
      <c r="AG131" s="101">
        <f>IF('Simulador CH BX+'!$D$17="Valor Destructible",IF(M131&gt;$F$8,0,$F$20),IF(M131&gt;$F$8,0,MAX(AA131,$F$10)*$F$19))</f>
        <v>0</v>
      </c>
      <c r="AH131" s="101">
        <f t="shared" si="41"/>
        <v>299</v>
      </c>
      <c r="AI131" s="101">
        <f t="shared" si="42"/>
        <v>299</v>
      </c>
      <c r="AJ131" s="361">
        <f t="shared" si="43"/>
        <v>299</v>
      </c>
    </row>
    <row r="132" spans="1:36" s="2" customFormat="1" ht="13.5" customHeight="1" x14ac:dyDescent="0.25">
      <c r="A132" s="10"/>
      <c r="B132" s="10"/>
      <c r="C132" s="10"/>
      <c r="D132" s="18"/>
      <c r="E132" s="10"/>
      <c r="F132" s="10"/>
      <c r="G132" s="10"/>
      <c r="H132" s="10"/>
      <c r="I132" s="10"/>
      <c r="J132" s="10"/>
      <c r="K132" s="10"/>
      <c r="L132" s="11"/>
      <c r="M132" s="98">
        <v>127</v>
      </c>
      <c r="N132" s="99">
        <f t="shared" si="56"/>
        <v>9.6500000000000002E-2</v>
      </c>
      <c r="O132" s="100">
        <f t="shared" si="54"/>
        <v>0</v>
      </c>
      <c r="P132" s="101">
        <f t="shared" si="48"/>
        <v>0</v>
      </c>
      <c r="Q132" s="101">
        <f t="shared" si="49"/>
        <v>0</v>
      </c>
      <c r="R132" s="101">
        <f t="shared" si="50"/>
        <v>0</v>
      </c>
      <c r="S132" s="101">
        <f t="shared" si="37"/>
        <v>0</v>
      </c>
      <c r="T132" s="101"/>
      <c r="U132" s="101">
        <f>IF('Simulador CH BX+'!$D$18="Monto de crédito",$F$11*$F$15,O132*$F$15)</f>
        <v>0</v>
      </c>
      <c r="V132" s="101">
        <f>IF('Simulador CH BX+'!$D$17="Valor Destructible",IF(O132-$F$18&lt;0,0,$F$18),IF(M132&gt;$F$8,0,MAX(O132,$F$10)*$F$17))</f>
        <v>0</v>
      </c>
      <c r="W132" s="101">
        <f t="shared" si="51"/>
        <v>0</v>
      </c>
      <c r="X132" s="101">
        <f t="shared" si="52"/>
        <v>0</v>
      </c>
      <c r="Y132" s="102">
        <f>'Simulador CH BX+'!M165</f>
        <v>0</v>
      </c>
      <c r="Z132" s="10"/>
      <c r="AA132" s="149">
        <f t="shared" si="44"/>
        <v>0</v>
      </c>
      <c r="AB132" s="101">
        <f t="shared" si="53"/>
        <v>0</v>
      </c>
      <c r="AC132" s="101">
        <f t="shared" si="38"/>
        <v>0</v>
      </c>
      <c r="AD132" s="101">
        <f t="shared" si="39"/>
        <v>0</v>
      </c>
      <c r="AE132" s="101">
        <f t="shared" si="40"/>
        <v>0</v>
      </c>
      <c r="AF132" s="101">
        <f>IF('Simulador CH BX+'!$D$18="Monto de crédito",$F$11*$F$15,AA132*$F$15)</f>
        <v>0</v>
      </c>
      <c r="AG132" s="101">
        <f>IF('Simulador CH BX+'!$D$17="Valor Destructible",IF(M132&gt;$F$8,0,$F$20),IF(M132&gt;$F$8,0,MAX(AA132,$F$10)*$F$19))</f>
        <v>0</v>
      </c>
      <c r="AH132" s="101">
        <f t="shared" si="41"/>
        <v>299</v>
      </c>
      <c r="AI132" s="101">
        <f t="shared" si="42"/>
        <v>299</v>
      </c>
      <c r="AJ132" s="361">
        <f t="shared" si="43"/>
        <v>299</v>
      </c>
    </row>
    <row r="133" spans="1:36" s="2" customFormat="1" ht="13.5" customHeight="1" x14ac:dyDescent="0.25">
      <c r="A133" s="10"/>
      <c r="B133" s="10"/>
      <c r="C133" s="10"/>
      <c r="D133" s="18"/>
      <c r="E133" s="10"/>
      <c r="F133" s="10"/>
      <c r="G133" s="10"/>
      <c r="H133" s="10"/>
      <c r="I133" s="10"/>
      <c r="J133" s="10"/>
      <c r="K133" s="10"/>
      <c r="L133" s="11"/>
      <c r="M133" s="98">
        <v>128</v>
      </c>
      <c r="N133" s="99">
        <f t="shared" si="56"/>
        <v>9.6500000000000002E-2</v>
      </c>
      <c r="O133" s="100">
        <f t="shared" si="54"/>
        <v>0</v>
      </c>
      <c r="P133" s="101">
        <f t="shared" si="48"/>
        <v>0</v>
      </c>
      <c r="Q133" s="101">
        <f t="shared" si="49"/>
        <v>0</v>
      </c>
      <c r="R133" s="101">
        <f t="shared" si="50"/>
        <v>0</v>
      </c>
      <c r="S133" s="101">
        <f t="shared" si="37"/>
        <v>0</v>
      </c>
      <c r="T133" s="101"/>
      <c r="U133" s="101">
        <f>IF('Simulador CH BX+'!$D$18="Monto de crédito",$F$11*$F$15,O133*$F$15)</f>
        <v>0</v>
      </c>
      <c r="V133" s="101">
        <f>IF('Simulador CH BX+'!$D$17="Valor Destructible",IF(O133-$F$18&lt;0,0,$F$18),IF(M133&gt;$F$8,0,MAX(O133,$F$10)*$F$17))</f>
        <v>0</v>
      </c>
      <c r="W133" s="101">
        <f t="shared" si="51"/>
        <v>0</v>
      </c>
      <c r="X133" s="101">
        <f t="shared" si="52"/>
        <v>0</v>
      </c>
      <c r="Y133" s="102">
        <f>'Simulador CH BX+'!M166</f>
        <v>0</v>
      </c>
      <c r="Z133" s="10"/>
      <c r="AA133" s="149">
        <f t="shared" si="44"/>
        <v>0</v>
      </c>
      <c r="AB133" s="101">
        <f t="shared" si="53"/>
        <v>0</v>
      </c>
      <c r="AC133" s="101">
        <f t="shared" si="38"/>
        <v>0</v>
      </c>
      <c r="AD133" s="101">
        <f t="shared" si="39"/>
        <v>0</v>
      </c>
      <c r="AE133" s="101">
        <f t="shared" si="40"/>
        <v>0</v>
      </c>
      <c r="AF133" s="101">
        <f>IF('Simulador CH BX+'!$D$18="Monto de crédito",$F$11*$F$15,AA133*$F$15)</f>
        <v>0</v>
      </c>
      <c r="AG133" s="101">
        <f>IF('Simulador CH BX+'!$D$17="Valor Destructible",IF(M133&gt;$F$8,0,$F$20),IF(M133&gt;$F$8,0,MAX(AA133,$F$10)*$F$19))</f>
        <v>0</v>
      </c>
      <c r="AH133" s="101">
        <f t="shared" si="41"/>
        <v>299</v>
      </c>
      <c r="AI133" s="101">
        <f t="shared" si="42"/>
        <v>299</v>
      </c>
      <c r="AJ133" s="361">
        <f t="shared" si="43"/>
        <v>299</v>
      </c>
    </row>
    <row r="134" spans="1:36" s="2" customFormat="1" ht="13.5" customHeight="1" x14ac:dyDescent="0.25">
      <c r="A134" s="10"/>
      <c r="B134" s="10"/>
      <c r="C134" s="10"/>
      <c r="D134" s="18"/>
      <c r="E134" s="10"/>
      <c r="F134" s="10"/>
      <c r="G134" s="10"/>
      <c r="H134" s="10"/>
      <c r="I134" s="10"/>
      <c r="J134" s="10"/>
      <c r="K134" s="10"/>
      <c r="L134" s="11"/>
      <c r="M134" s="98">
        <v>129</v>
      </c>
      <c r="N134" s="99">
        <f t="shared" si="56"/>
        <v>9.6500000000000002E-2</v>
      </c>
      <c r="O134" s="100">
        <f t="shared" si="54"/>
        <v>0</v>
      </c>
      <c r="P134" s="101">
        <f t="shared" ref="P134:P165" si="57">O134*(N134/12)</f>
        <v>0</v>
      </c>
      <c r="Q134" s="101">
        <f t="shared" ref="Q134:Q165" si="58">IF(R134-P134&lt;0,O134,R134-P134)</f>
        <v>0</v>
      </c>
      <c r="R134" s="101">
        <f t="shared" ref="R134:R165" si="59">IF(O134-F$14&lt;0,0,F$14)</f>
        <v>0</v>
      </c>
      <c r="S134" s="101">
        <f t="shared" si="37"/>
        <v>0</v>
      </c>
      <c r="T134" s="101"/>
      <c r="U134" s="101">
        <f>IF('Simulador CH BX+'!$D$18="Monto de crédito",$F$11*$F$15,O134*$F$15)</f>
        <v>0</v>
      </c>
      <c r="V134" s="101">
        <f>IF('Simulador CH BX+'!$D$17="Valor Destructible",IF(O134-$F$18&lt;0,0,$F$18),IF(M134&gt;$F$8,0,MAX(O134,$F$10)*$F$17))</f>
        <v>0</v>
      </c>
      <c r="W134" s="101">
        <f t="shared" ref="W134:W165" si="60">IF(O134-F$22&lt;0,0,F$22)</f>
        <v>0</v>
      </c>
      <c r="X134" s="101">
        <f t="shared" ref="X134:X165" si="61">P134+Q134+U134+V134+W134</f>
        <v>0</v>
      </c>
      <c r="Y134" s="102">
        <f>'Simulador CH BX+'!M167</f>
        <v>0</v>
      </c>
      <c r="Z134" s="10"/>
      <c r="AA134" s="149">
        <f t="shared" si="44"/>
        <v>0</v>
      </c>
      <c r="AB134" s="101">
        <f t="shared" ref="AB134:AB165" si="62">AA134*(N134/12)</f>
        <v>0</v>
      </c>
      <c r="AC134" s="101">
        <f t="shared" si="38"/>
        <v>0</v>
      </c>
      <c r="AD134" s="101">
        <f t="shared" si="39"/>
        <v>0</v>
      </c>
      <c r="AE134" s="101">
        <f t="shared" si="40"/>
        <v>0</v>
      </c>
      <c r="AF134" s="101">
        <f>IF('Simulador CH BX+'!$D$18="Monto de crédito",$F$11*$F$15,AA134*$F$15)</f>
        <v>0</v>
      </c>
      <c r="AG134" s="101">
        <f>IF('Simulador CH BX+'!$D$17="Valor Destructible",IF(M134&gt;$F$8,0,$F$20),IF(M134&gt;$F$8,0,MAX(AA134,$F$10)*$F$19))</f>
        <v>0</v>
      </c>
      <c r="AH134" s="101">
        <f t="shared" si="41"/>
        <v>299</v>
      </c>
      <c r="AI134" s="101">
        <f t="shared" si="42"/>
        <v>299</v>
      </c>
      <c r="AJ134" s="361">
        <f t="shared" si="43"/>
        <v>299</v>
      </c>
    </row>
    <row r="135" spans="1:36" s="2" customFormat="1" ht="13.5" customHeight="1" x14ac:dyDescent="0.25">
      <c r="A135" s="10"/>
      <c r="B135" s="10"/>
      <c r="C135" s="10"/>
      <c r="D135" s="18"/>
      <c r="E135" s="10"/>
      <c r="F135" s="10"/>
      <c r="G135" s="10"/>
      <c r="H135" s="10"/>
      <c r="I135" s="10"/>
      <c r="J135" s="10"/>
      <c r="K135" s="10"/>
      <c r="L135" s="11"/>
      <c r="M135" s="98">
        <v>130</v>
      </c>
      <c r="N135" s="99">
        <f t="shared" si="56"/>
        <v>9.6500000000000002E-2</v>
      </c>
      <c r="O135" s="100">
        <f t="shared" ref="O135:O166" si="63">(O134-Q134)-Y134</f>
        <v>0</v>
      </c>
      <c r="P135" s="101">
        <f t="shared" si="57"/>
        <v>0</v>
      </c>
      <c r="Q135" s="101">
        <f t="shared" si="58"/>
        <v>0</v>
      </c>
      <c r="R135" s="101">
        <f t="shared" si="59"/>
        <v>0</v>
      </c>
      <c r="S135" s="101">
        <f t="shared" ref="S135:S185" si="64">P135+Q135</f>
        <v>0</v>
      </c>
      <c r="T135" s="101"/>
      <c r="U135" s="101">
        <f>IF('Simulador CH BX+'!$D$18="Monto de crédito",$F$11*$F$15,O135*$F$15)</f>
        <v>0</v>
      </c>
      <c r="V135" s="101">
        <f>IF('Simulador CH BX+'!$D$17="Valor Destructible",IF(O135-$F$18&lt;0,0,$F$18),IF(M135&gt;$F$8,0,MAX(O135,$F$10)*$F$17))</f>
        <v>0</v>
      </c>
      <c r="W135" s="101">
        <f t="shared" si="60"/>
        <v>0</v>
      </c>
      <c r="X135" s="101">
        <f t="shared" si="61"/>
        <v>0</v>
      </c>
      <c r="Y135" s="102">
        <f>'Simulador CH BX+'!M168</f>
        <v>0</v>
      </c>
      <c r="Z135" s="10"/>
      <c r="AA135" s="149">
        <f t="shared" si="44"/>
        <v>0</v>
      </c>
      <c r="AB135" s="101">
        <f t="shared" si="62"/>
        <v>0</v>
      </c>
      <c r="AC135" s="101">
        <f t="shared" ref="AC135:AC185" si="65">AD135-AB135</f>
        <v>0</v>
      </c>
      <c r="AD135" s="101">
        <f t="shared" ref="AD135:AD198" si="66">IF(M135&gt;$F$8,0,F$14)</f>
        <v>0</v>
      </c>
      <c r="AE135" s="101">
        <f t="shared" ref="AE135:AE186" si="67">AB135+AC135</f>
        <v>0</v>
      </c>
      <c r="AF135" s="101">
        <f>IF('Simulador CH BX+'!$D$18="Monto de crédito",$F$11*$F$15,AA135*$F$15)</f>
        <v>0</v>
      </c>
      <c r="AG135" s="101">
        <f>IF('Simulador CH BX+'!$D$17="Valor Destructible",IF(M135&gt;$F$8,0,$F$20),IF(M135&gt;$F$8,0,MAX(AA135,$F$10)*$F$19))</f>
        <v>0</v>
      </c>
      <c r="AH135" s="101">
        <f t="shared" ref="AH135:AH198" si="68">IF(M135&gt;$F$8,0,F$21)</f>
        <v>299</v>
      </c>
      <c r="AI135" s="101">
        <f t="shared" ref="AI135:AI198" si="69">IF(M135&gt;$F$8,0,F$14+AH135)</f>
        <v>299</v>
      </c>
      <c r="AJ135" s="361">
        <f t="shared" ref="AJ135:AJ198" si="70">IF(M135&gt;$F$8,0,AC135+AB135+AF135+AG135+AH135)</f>
        <v>299</v>
      </c>
    </row>
    <row r="136" spans="1:36" s="2" customFormat="1" ht="13.5" customHeight="1" x14ac:dyDescent="0.25">
      <c r="A136" s="10"/>
      <c r="B136" s="10"/>
      <c r="C136" s="10"/>
      <c r="D136" s="18"/>
      <c r="E136" s="10"/>
      <c r="F136" s="10"/>
      <c r="G136" s="10"/>
      <c r="H136" s="10"/>
      <c r="I136" s="10"/>
      <c r="J136" s="10"/>
      <c r="K136" s="10"/>
      <c r="L136" s="11"/>
      <c r="M136" s="98">
        <v>131</v>
      </c>
      <c r="N136" s="99">
        <f t="shared" si="56"/>
        <v>9.6500000000000002E-2</v>
      </c>
      <c r="O136" s="100">
        <f t="shared" si="63"/>
        <v>0</v>
      </c>
      <c r="P136" s="101">
        <f t="shared" si="57"/>
        <v>0</v>
      </c>
      <c r="Q136" s="101">
        <f t="shared" si="58"/>
        <v>0</v>
      </c>
      <c r="R136" s="101">
        <f t="shared" si="59"/>
        <v>0</v>
      </c>
      <c r="S136" s="101">
        <f t="shared" si="64"/>
        <v>0</v>
      </c>
      <c r="T136" s="101"/>
      <c r="U136" s="101">
        <f>IF('Simulador CH BX+'!$D$18="Monto de crédito",$F$11*$F$15,O136*$F$15)</f>
        <v>0</v>
      </c>
      <c r="V136" s="101">
        <f>IF('Simulador CH BX+'!$D$17="Valor Destructible",IF(O136-$F$18&lt;0,0,$F$18),IF(M136&gt;$F$8,0,MAX(O136,$F$10)*$F$17))</f>
        <v>0</v>
      </c>
      <c r="W136" s="101">
        <f t="shared" si="60"/>
        <v>0</v>
      </c>
      <c r="X136" s="101">
        <f t="shared" si="61"/>
        <v>0</v>
      </c>
      <c r="Y136" s="102">
        <f>'Simulador CH BX+'!M169</f>
        <v>0</v>
      </c>
      <c r="Z136" s="10"/>
      <c r="AA136" s="149">
        <f t="shared" ref="AA136:AA199" si="71">AA135-AC135</f>
        <v>0</v>
      </c>
      <c r="AB136" s="101">
        <f t="shared" si="62"/>
        <v>0</v>
      </c>
      <c r="AC136" s="101">
        <f t="shared" si="65"/>
        <v>0</v>
      </c>
      <c r="AD136" s="101">
        <f t="shared" si="66"/>
        <v>0</v>
      </c>
      <c r="AE136" s="101">
        <f t="shared" si="67"/>
        <v>0</v>
      </c>
      <c r="AF136" s="101">
        <f>IF('Simulador CH BX+'!$D$18="Monto de crédito",$F$11*$F$15,AA136*$F$15)</f>
        <v>0</v>
      </c>
      <c r="AG136" s="101">
        <f>IF('Simulador CH BX+'!$D$17="Valor Destructible",IF(M136&gt;$F$8,0,$F$20),IF(M136&gt;$F$8,0,MAX(AA136,$F$10)*$F$19))</f>
        <v>0</v>
      </c>
      <c r="AH136" s="101">
        <f t="shared" si="68"/>
        <v>299</v>
      </c>
      <c r="AI136" s="101">
        <f t="shared" si="69"/>
        <v>299</v>
      </c>
      <c r="AJ136" s="361">
        <f t="shared" si="70"/>
        <v>299</v>
      </c>
    </row>
    <row r="137" spans="1:36" s="2" customFormat="1" ht="13.5" customHeight="1" x14ac:dyDescent="0.25">
      <c r="A137" s="10"/>
      <c r="B137" s="10"/>
      <c r="C137" s="10"/>
      <c r="D137" s="18"/>
      <c r="E137" s="10"/>
      <c r="F137" s="10"/>
      <c r="G137" s="10"/>
      <c r="H137" s="10"/>
      <c r="I137" s="10"/>
      <c r="J137" s="10"/>
      <c r="K137" s="10"/>
      <c r="L137" s="11"/>
      <c r="M137" s="103">
        <v>132</v>
      </c>
      <c r="N137" s="104">
        <f t="shared" si="56"/>
        <v>9.6500000000000002E-2</v>
      </c>
      <c r="O137" s="105">
        <f t="shared" si="63"/>
        <v>0</v>
      </c>
      <c r="P137" s="106">
        <f t="shared" si="57"/>
        <v>0</v>
      </c>
      <c r="Q137" s="106">
        <f t="shared" si="58"/>
        <v>0</v>
      </c>
      <c r="R137" s="106">
        <f t="shared" si="59"/>
        <v>0</v>
      </c>
      <c r="S137" s="106">
        <f t="shared" si="64"/>
        <v>0</v>
      </c>
      <c r="T137" s="106">
        <f>$F$24</f>
        <v>0</v>
      </c>
      <c r="U137" s="106">
        <f>IF('Simulador CH BX+'!$D$18="Monto de crédito",$F$11*$F$15,O137*$F$15)</f>
        <v>0</v>
      </c>
      <c r="V137" s="106">
        <f>IF('Simulador CH BX+'!$D$17="Valor Destructible",IF(O137-$F$18&lt;0,0,$F$18),IF(M137&gt;$F$8,0,MAX(O137,$F$10)*$F$17))</f>
        <v>0</v>
      </c>
      <c r="W137" s="106">
        <f t="shared" si="60"/>
        <v>0</v>
      </c>
      <c r="X137" s="106">
        <f t="shared" si="61"/>
        <v>0</v>
      </c>
      <c r="Y137" s="107">
        <f>'Simulador CH BX+'!M170</f>
        <v>0</v>
      </c>
      <c r="Z137" s="10"/>
      <c r="AA137" s="150">
        <f t="shared" si="71"/>
        <v>0</v>
      </c>
      <c r="AB137" s="106">
        <f t="shared" si="62"/>
        <v>0</v>
      </c>
      <c r="AC137" s="106">
        <f t="shared" si="65"/>
        <v>0</v>
      </c>
      <c r="AD137" s="106">
        <f t="shared" si="66"/>
        <v>0</v>
      </c>
      <c r="AE137" s="106">
        <f t="shared" si="67"/>
        <v>0</v>
      </c>
      <c r="AF137" s="106">
        <f>IF('Simulador CH BX+'!$D$18="Monto de crédito",$F$11*$F$15,AA137*$F$15)</f>
        <v>0</v>
      </c>
      <c r="AG137" s="106">
        <f>IF('Simulador CH BX+'!$D$17="Valor Destructible",IF(M137&gt;$F$8,0,$F$20),IF(M137&gt;$F$8,0,MAX(AA137,$F$10)*$F$19))</f>
        <v>0</v>
      </c>
      <c r="AH137" s="106">
        <f t="shared" si="68"/>
        <v>299</v>
      </c>
      <c r="AI137" s="106">
        <f t="shared" si="69"/>
        <v>299</v>
      </c>
      <c r="AJ137" s="362">
        <f t="shared" si="70"/>
        <v>299</v>
      </c>
    </row>
    <row r="138" spans="1:36" s="2" customFormat="1" ht="13.5" customHeight="1" x14ac:dyDescent="0.25">
      <c r="A138" s="10"/>
      <c r="B138" s="10"/>
      <c r="C138" s="10"/>
      <c r="D138" s="18"/>
      <c r="E138" s="10"/>
      <c r="F138" s="10"/>
      <c r="G138" s="10"/>
      <c r="H138" s="10"/>
      <c r="I138" s="10"/>
      <c r="J138" s="10"/>
      <c r="K138" s="10"/>
      <c r="L138" s="11"/>
      <c r="M138" s="98">
        <v>133</v>
      </c>
      <c r="N138" s="99">
        <f t="shared" ref="N138:N149" si="72">C$30</f>
        <v>9.6500000000000002E-2</v>
      </c>
      <c r="O138" s="100">
        <f t="shared" si="63"/>
        <v>0</v>
      </c>
      <c r="P138" s="101">
        <f t="shared" si="57"/>
        <v>0</v>
      </c>
      <c r="Q138" s="101">
        <f t="shared" si="58"/>
        <v>0</v>
      </c>
      <c r="R138" s="101">
        <f t="shared" si="59"/>
        <v>0</v>
      </c>
      <c r="S138" s="101">
        <f t="shared" si="64"/>
        <v>0</v>
      </c>
      <c r="T138" s="101"/>
      <c r="U138" s="101">
        <f>IF('Simulador CH BX+'!$D$18="Monto de crédito",$F$11*$F$15,O138*$F$15)</f>
        <v>0</v>
      </c>
      <c r="V138" s="101">
        <f>IF('Simulador CH BX+'!$D$17="Valor Destructible",IF(O138-$F$18&lt;0,0,$F$18),IF(M138&gt;$F$8,0,MAX(O138,$F$10)*$F$17))</f>
        <v>0</v>
      </c>
      <c r="W138" s="101">
        <f t="shared" si="60"/>
        <v>0</v>
      </c>
      <c r="X138" s="101">
        <f t="shared" si="61"/>
        <v>0</v>
      </c>
      <c r="Y138" s="102">
        <f>'Simulador CH BX+'!M171</f>
        <v>0</v>
      </c>
      <c r="Z138" s="10"/>
      <c r="AA138" s="149">
        <f t="shared" si="71"/>
        <v>0</v>
      </c>
      <c r="AB138" s="101">
        <f t="shared" si="62"/>
        <v>0</v>
      </c>
      <c r="AC138" s="101">
        <f t="shared" si="65"/>
        <v>0</v>
      </c>
      <c r="AD138" s="101">
        <f t="shared" si="66"/>
        <v>0</v>
      </c>
      <c r="AE138" s="101">
        <f t="shared" si="67"/>
        <v>0</v>
      </c>
      <c r="AF138" s="101">
        <f>IF('Simulador CH BX+'!$D$18="Monto de crédito",$F$11*$F$15,AA138*$F$15)</f>
        <v>0</v>
      </c>
      <c r="AG138" s="101">
        <f>IF('Simulador CH BX+'!$D$17="Valor Destructible",IF(M138&gt;$F$8,0,$F$20),IF(M138&gt;$F$8,0,MAX(AA138,$F$10)*$F$19))</f>
        <v>0</v>
      </c>
      <c r="AH138" s="101">
        <f t="shared" si="68"/>
        <v>299</v>
      </c>
      <c r="AI138" s="101">
        <f t="shared" si="69"/>
        <v>299</v>
      </c>
      <c r="AJ138" s="361">
        <f t="shared" si="70"/>
        <v>299</v>
      </c>
    </row>
    <row r="139" spans="1:36" s="2" customFormat="1" ht="13.5" customHeight="1" x14ac:dyDescent="0.25">
      <c r="A139" s="10"/>
      <c r="B139" s="10"/>
      <c r="C139" s="10"/>
      <c r="D139" s="18"/>
      <c r="E139" s="10"/>
      <c r="F139" s="10"/>
      <c r="G139" s="10"/>
      <c r="H139" s="10"/>
      <c r="I139" s="10"/>
      <c r="J139" s="10"/>
      <c r="K139" s="10"/>
      <c r="L139" s="11"/>
      <c r="M139" s="98">
        <v>134</v>
      </c>
      <c r="N139" s="99">
        <f t="shared" si="72"/>
        <v>9.6500000000000002E-2</v>
      </c>
      <c r="O139" s="100">
        <f t="shared" si="63"/>
        <v>0</v>
      </c>
      <c r="P139" s="101">
        <f t="shared" si="57"/>
        <v>0</v>
      </c>
      <c r="Q139" s="101">
        <f t="shared" si="58"/>
        <v>0</v>
      </c>
      <c r="R139" s="101">
        <f t="shared" si="59"/>
        <v>0</v>
      </c>
      <c r="S139" s="101">
        <f t="shared" si="64"/>
        <v>0</v>
      </c>
      <c r="T139" s="101"/>
      <c r="U139" s="101">
        <f>IF('Simulador CH BX+'!$D$18="Monto de crédito",$F$11*$F$15,O139*$F$15)</f>
        <v>0</v>
      </c>
      <c r="V139" s="101">
        <f>IF('Simulador CH BX+'!$D$17="Valor Destructible",IF(O139-$F$18&lt;0,0,$F$18),IF(M139&gt;$F$8,0,MAX(O139,$F$10)*$F$17))</f>
        <v>0</v>
      </c>
      <c r="W139" s="101">
        <f t="shared" si="60"/>
        <v>0</v>
      </c>
      <c r="X139" s="101">
        <f t="shared" si="61"/>
        <v>0</v>
      </c>
      <c r="Y139" s="102">
        <f>'Simulador CH BX+'!M172</f>
        <v>0</v>
      </c>
      <c r="Z139" s="10"/>
      <c r="AA139" s="149">
        <f t="shared" si="71"/>
        <v>0</v>
      </c>
      <c r="AB139" s="101">
        <f t="shared" si="62"/>
        <v>0</v>
      </c>
      <c r="AC139" s="101">
        <f t="shared" si="65"/>
        <v>0</v>
      </c>
      <c r="AD139" s="101">
        <f t="shared" si="66"/>
        <v>0</v>
      </c>
      <c r="AE139" s="101">
        <f t="shared" si="67"/>
        <v>0</v>
      </c>
      <c r="AF139" s="101">
        <f>IF('Simulador CH BX+'!$D$18="Monto de crédito",$F$11*$F$15,AA139*$F$15)</f>
        <v>0</v>
      </c>
      <c r="AG139" s="101">
        <f>IF('Simulador CH BX+'!$D$17="Valor Destructible",IF(M139&gt;$F$8,0,$F$20),IF(M139&gt;$F$8,0,MAX(AA139,$F$10)*$F$19))</f>
        <v>0</v>
      </c>
      <c r="AH139" s="101">
        <f t="shared" si="68"/>
        <v>299</v>
      </c>
      <c r="AI139" s="101">
        <f t="shared" si="69"/>
        <v>299</v>
      </c>
      <c r="AJ139" s="361">
        <f t="shared" si="70"/>
        <v>299</v>
      </c>
    </row>
    <row r="140" spans="1:36" s="2" customFormat="1" ht="13.5" customHeight="1" x14ac:dyDescent="0.25">
      <c r="A140" s="10"/>
      <c r="B140" s="10"/>
      <c r="C140" s="10"/>
      <c r="D140" s="18"/>
      <c r="E140" s="10"/>
      <c r="F140" s="10"/>
      <c r="G140" s="10"/>
      <c r="H140" s="10"/>
      <c r="I140" s="10"/>
      <c r="J140" s="10"/>
      <c r="K140" s="10"/>
      <c r="L140" s="11"/>
      <c r="M140" s="98">
        <v>135</v>
      </c>
      <c r="N140" s="99">
        <f t="shared" si="72"/>
        <v>9.6500000000000002E-2</v>
      </c>
      <c r="O140" s="100">
        <f t="shared" si="63"/>
        <v>0</v>
      </c>
      <c r="P140" s="101">
        <f t="shared" si="57"/>
        <v>0</v>
      </c>
      <c r="Q140" s="101">
        <f t="shared" si="58"/>
        <v>0</v>
      </c>
      <c r="R140" s="101">
        <f t="shared" si="59"/>
        <v>0</v>
      </c>
      <c r="S140" s="101">
        <f t="shared" si="64"/>
        <v>0</v>
      </c>
      <c r="T140" s="101"/>
      <c r="U140" s="101">
        <f>IF('Simulador CH BX+'!$D$18="Monto de crédito",$F$11*$F$15,O140*$F$15)</f>
        <v>0</v>
      </c>
      <c r="V140" s="101">
        <f>IF('Simulador CH BX+'!$D$17="Valor Destructible",IF(O140-$F$18&lt;0,0,$F$18),IF(M140&gt;$F$8,0,MAX(O140,$F$10)*$F$17))</f>
        <v>0</v>
      </c>
      <c r="W140" s="101">
        <f t="shared" si="60"/>
        <v>0</v>
      </c>
      <c r="X140" s="101">
        <f t="shared" si="61"/>
        <v>0</v>
      </c>
      <c r="Y140" s="102">
        <f>'Simulador CH BX+'!M173</f>
        <v>0</v>
      </c>
      <c r="Z140" s="10"/>
      <c r="AA140" s="149">
        <f t="shared" si="71"/>
        <v>0</v>
      </c>
      <c r="AB140" s="101">
        <f t="shared" si="62"/>
        <v>0</v>
      </c>
      <c r="AC140" s="101">
        <f t="shared" si="65"/>
        <v>0</v>
      </c>
      <c r="AD140" s="101">
        <f t="shared" si="66"/>
        <v>0</v>
      </c>
      <c r="AE140" s="101">
        <f t="shared" si="67"/>
        <v>0</v>
      </c>
      <c r="AF140" s="101">
        <f>IF('Simulador CH BX+'!$D$18="Monto de crédito",$F$11*$F$15,AA140*$F$15)</f>
        <v>0</v>
      </c>
      <c r="AG140" s="101">
        <f>IF('Simulador CH BX+'!$D$17="Valor Destructible",IF(M140&gt;$F$8,0,$F$20),IF(M140&gt;$F$8,0,MAX(AA140,$F$10)*$F$19))</f>
        <v>0</v>
      </c>
      <c r="AH140" s="101">
        <f t="shared" si="68"/>
        <v>299</v>
      </c>
      <c r="AI140" s="101">
        <f t="shared" si="69"/>
        <v>299</v>
      </c>
      <c r="AJ140" s="361">
        <f t="shared" si="70"/>
        <v>299</v>
      </c>
    </row>
    <row r="141" spans="1:36" s="2" customFormat="1" ht="13.5" customHeight="1" x14ac:dyDescent="0.25">
      <c r="A141" s="10"/>
      <c r="B141" s="10"/>
      <c r="C141" s="10"/>
      <c r="D141" s="18"/>
      <c r="E141" s="10"/>
      <c r="F141" s="10"/>
      <c r="G141" s="10"/>
      <c r="H141" s="10"/>
      <c r="I141" s="10"/>
      <c r="J141" s="10"/>
      <c r="K141" s="10"/>
      <c r="L141" s="11"/>
      <c r="M141" s="98">
        <v>136</v>
      </c>
      <c r="N141" s="99">
        <f t="shared" si="72"/>
        <v>9.6500000000000002E-2</v>
      </c>
      <c r="O141" s="100">
        <f t="shared" si="63"/>
        <v>0</v>
      </c>
      <c r="P141" s="101">
        <f t="shared" si="57"/>
        <v>0</v>
      </c>
      <c r="Q141" s="101">
        <f t="shared" si="58"/>
        <v>0</v>
      </c>
      <c r="R141" s="101">
        <f t="shared" si="59"/>
        <v>0</v>
      </c>
      <c r="S141" s="101">
        <f t="shared" si="64"/>
        <v>0</v>
      </c>
      <c r="T141" s="101"/>
      <c r="U141" s="101">
        <f>IF('Simulador CH BX+'!$D$18="Monto de crédito",$F$11*$F$15,O141*$F$15)</f>
        <v>0</v>
      </c>
      <c r="V141" s="101">
        <f>IF('Simulador CH BX+'!$D$17="Valor Destructible",IF(O141-$F$18&lt;0,0,$F$18),IF(M141&gt;$F$8,0,MAX(O141,$F$10)*$F$17))</f>
        <v>0</v>
      </c>
      <c r="W141" s="101">
        <f t="shared" si="60"/>
        <v>0</v>
      </c>
      <c r="X141" s="101">
        <f t="shared" si="61"/>
        <v>0</v>
      </c>
      <c r="Y141" s="102">
        <f>'Simulador CH BX+'!M174</f>
        <v>0</v>
      </c>
      <c r="Z141" s="10"/>
      <c r="AA141" s="149">
        <f t="shared" si="71"/>
        <v>0</v>
      </c>
      <c r="AB141" s="101">
        <f t="shared" si="62"/>
        <v>0</v>
      </c>
      <c r="AC141" s="101">
        <f t="shared" si="65"/>
        <v>0</v>
      </c>
      <c r="AD141" s="101">
        <f t="shared" si="66"/>
        <v>0</v>
      </c>
      <c r="AE141" s="101">
        <f t="shared" si="67"/>
        <v>0</v>
      </c>
      <c r="AF141" s="101">
        <f>IF('Simulador CH BX+'!$D$18="Monto de crédito",$F$11*$F$15,AA141*$F$15)</f>
        <v>0</v>
      </c>
      <c r="AG141" s="101">
        <f>IF('Simulador CH BX+'!$D$17="Valor Destructible",IF(M141&gt;$F$8,0,$F$20),IF(M141&gt;$F$8,0,MAX(AA141,$F$10)*$F$19))</f>
        <v>0</v>
      </c>
      <c r="AH141" s="101">
        <f t="shared" si="68"/>
        <v>299</v>
      </c>
      <c r="AI141" s="101">
        <f t="shared" si="69"/>
        <v>299</v>
      </c>
      <c r="AJ141" s="361">
        <f t="shared" si="70"/>
        <v>299</v>
      </c>
    </row>
    <row r="142" spans="1:36" s="2" customFormat="1" ht="13.5" customHeight="1" x14ac:dyDescent="0.25">
      <c r="A142" s="10"/>
      <c r="B142" s="10"/>
      <c r="C142" s="10"/>
      <c r="D142" s="18"/>
      <c r="E142" s="10"/>
      <c r="F142" s="10"/>
      <c r="G142" s="10"/>
      <c r="H142" s="10"/>
      <c r="I142" s="10"/>
      <c r="J142" s="10"/>
      <c r="K142" s="10"/>
      <c r="L142" s="11"/>
      <c r="M142" s="98">
        <v>137</v>
      </c>
      <c r="N142" s="99">
        <f t="shared" si="72"/>
        <v>9.6500000000000002E-2</v>
      </c>
      <c r="O142" s="100">
        <f t="shared" si="63"/>
        <v>0</v>
      </c>
      <c r="P142" s="101">
        <f t="shared" si="57"/>
        <v>0</v>
      </c>
      <c r="Q142" s="101">
        <f t="shared" si="58"/>
        <v>0</v>
      </c>
      <c r="R142" s="101">
        <f t="shared" si="59"/>
        <v>0</v>
      </c>
      <c r="S142" s="101">
        <f t="shared" si="64"/>
        <v>0</v>
      </c>
      <c r="T142" s="101"/>
      <c r="U142" s="101">
        <f>IF('Simulador CH BX+'!$D$18="Monto de crédito",$F$11*$F$15,O142*$F$15)</f>
        <v>0</v>
      </c>
      <c r="V142" s="101">
        <f>IF('Simulador CH BX+'!$D$17="Valor Destructible",IF(O142-$F$18&lt;0,0,$F$18),IF(M142&gt;$F$8,0,MAX(O142,$F$10)*$F$17))</f>
        <v>0</v>
      </c>
      <c r="W142" s="101">
        <f t="shared" si="60"/>
        <v>0</v>
      </c>
      <c r="X142" s="101">
        <f t="shared" si="61"/>
        <v>0</v>
      </c>
      <c r="Y142" s="102">
        <f>'Simulador CH BX+'!M175</f>
        <v>0</v>
      </c>
      <c r="Z142" s="10"/>
      <c r="AA142" s="149">
        <f t="shared" si="71"/>
        <v>0</v>
      </c>
      <c r="AB142" s="101">
        <f t="shared" si="62"/>
        <v>0</v>
      </c>
      <c r="AC142" s="101">
        <f t="shared" si="65"/>
        <v>0</v>
      </c>
      <c r="AD142" s="101">
        <f t="shared" si="66"/>
        <v>0</v>
      </c>
      <c r="AE142" s="101">
        <f t="shared" si="67"/>
        <v>0</v>
      </c>
      <c r="AF142" s="101">
        <f>IF('Simulador CH BX+'!$D$18="Monto de crédito",$F$11*$F$15,AA142*$F$15)</f>
        <v>0</v>
      </c>
      <c r="AG142" s="101">
        <f>IF('Simulador CH BX+'!$D$17="Valor Destructible",IF(M142&gt;$F$8,0,$F$20),IF(M142&gt;$F$8,0,MAX(AA142,$F$10)*$F$19))</f>
        <v>0</v>
      </c>
      <c r="AH142" s="101">
        <f t="shared" si="68"/>
        <v>299</v>
      </c>
      <c r="AI142" s="101">
        <f t="shared" si="69"/>
        <v>299</v>
      </c>
      <c r="AJ142" s="361">
        <f t="shared" si="70"/>
        <v>299</v>
      </c>
    </row>
    <row r="143" spans="1:36" s="2" customFormat="1" ht="13.5" customHeight="1" x14ac:dyDescent="0.25">
      <c r="A143" s="10"/>
      <c r="B143" s="10"/>
      <c r="C143" s="10"/>
      <c r="D143" s="18"/>
      <c r="E143" s="10"/>
      <c r="F143" s="10"/>
      <c r="G143" s="10"/>
      <c r="H143" s="10"/>
      <c r="I143" s="10"/>
      <c r="J143" s="10"/>
      <c r="K143" s="10"/>
      <c r="L143" s="11"/>
      <c r="M143" s="98">
        <v>138</v>
      </c>
      <c r="N143" s="99">
        <f t="shared" si="72"/>
        <v>9.6500000000000002E-2</v>
      </c>
      <c r="O143" s="100">
        <f t="shared" si="63"/>
        <v>0</v>
      </c>
      <c r="P143" s="101">
        <f t="shared" si="57"/>
        <v>0</v>
      </c>
      <c r="Q143" s="101">
        <f t="shared" si="58"/>
        <v>0</v>
      </c>
      <c r="R143" s="101">
        <f t="shared" si="59"/>
        <v>0</v>
      </c>
      <c r="S143" s="101">
        <f t="shared" si="64"/>
        <v>0</v>
      </c>
      <c r="T143" s="101"/>
      <c r="U143" s="101">
        <f>IF('Simulador CH BX+'!$D$18="Monto de crédito",$F$11*$F$15,O143*$F$15)</f>
        <v>0</v>
      </c>
      <c r="V143" s="101">
        <f>IF('Simulador CH BX+'!$D$17="Valor Destructible",IF(O143-$F$18&lt;0,0,$F$18),IF(M143&gt;$F$8,0,MAX(O143,$F$10)*$F$17))</f>
        <v>0</v>
      </c>
      <c r="W143" s="101">
        <f t="shared" si="60"/>
        <v>0</v>
      </c>
      <c r="X143" s="101">
        <f t="shared" si="61"/>
        <v>0</v>
      </c>
      <c r="Y143" s="102">
        <f>'Simulador CH BX+'!M176</f>
        <v>0</v>
      </c>
      <c r="Z143" s="10"/>
      <c r="AA143" s="149">
        <f t="shared" si="71"/>
        <v>0</v>
      </c>
      <c r="AB143" s="101">
        <f t="shared" si="62"/>
        <v>0</v>
      </c>
      <c r="AC143" s="101">
        <f t="shared" si="65"/>
        <v>0</v>
      </c>
      <c r="AD143" s="101">
        <f t="shared" si="66"/>
        <v>0</v>
      </c>
      <c r="AE143" s="101">
        <f t="shared" si="67"/>
        <v>0</v>
      </c>
      <c r="AF143" s="101">
        <f>IF('Simulador CH BX+'!$D$18="Monto de crédito",$F$11*$F$15,AA143*$F$15)</f>
        <v>0</v>
      </c>
      <c r="AG143" s="101">
        <f>IF('Simulador CH BX+'!$D$17="Valor Destructible",IF(M143&gt;$F$8,0,$F$20),IF(M143&gt;$F$8,0,MAX(AA143,$F$10)*$F$19))</f>
        <v>0</v>
      </c>
      <c r="AH143" s="101">
        <f t="shared" si="68"/>
        <v>299</v>
      </c>
      <c r="AI143" s="101">
        <f t="shared" si="69"/>
        <v>299</v>
      </c>
      <c r="AJ143" s="361">
        <f t="shared" si="70"/>
        <v>299</v>
      </c>
    </row>
    <row r="144" spans="1:36" s="2" customFormat="1" ht="13.5" customHeight="1" x14ac:dyDescent="0.25">
      <c r="A144" s="10"/>
      <c r="B144" s="10"/>
      <c r="C144" s="10"/>
      <c r="D144" s="18"/>
      <c r="E144" s="10"/>
      <c r="F144" s="10"/>
      <c r="G144" s="10"/>
      <c r="H144" s="10"/>
      <c r="I144" s="10"/>
      <c r="J144" s="10"/>
      <c r="K144" s="10"/>
      <c r="L144" s="11"/>
      <c r="M144" s="98">
        <v>139</v>
      </c>
      <c r="N144" s="99">
        <f t="shared" si="72"/>
        <v>9.6500000000000002E-2</v>
      </c>
      <c r="O144" s="100">
        <f t="shared" si="63"/>
        <v>0</v>
      </c>
      <c r="P144" s="101">
        <f t="shared" si="57"/>
        <v>0</v>
      </c>
      <c r="Q144" s="101">
        <f t="shared" si="58"/>
        <v>0</v>
      </c>
      <c r="R144" s="101">
        <f t="shared" si="59"/>
        <v>0</v>
      </c>
      <c r="S144" s="101">
        <f t="shared" si="64"/>
        <v>0</v>
      </c>
      <c r="T144" s="101"/>
      <c r="U144" s="101">
        <f>IF('Simulador CH BX+'!$D$18="Monto de crédito",$F$11*$F$15,O144*$F$15)</f>
        <v>0</v>
      </c>
      <c r="V144" s="101">
        <f>IF('Simulador CH BX+'!$D$17="Valor Destructible",IF(O144-$F$18&lt;0,0,$F$18),IF(M144&gt;$F$8,0,MAX(O144,$F$10)*$F$17))</f>
        <v>0</v>
      </c>
      <c r="W144" s="101">
        <f t="shared" si="60"/>
        <v>0</v>
      </c>
      <c r="X144" s="101">
        <f t="shared" si="61"/>
        <v>0</v>
      </c>
      <c r="Y144" s="102">
        <f>'Simulador CH BX+'!M177</f>
        <v>0</v>
      </c>
      <c r="Z144" s="10"/>
      <c r="AA144" s="149">
        <f t="shared" si="71"/>
        <v>0</v>
      </c>
      <c r="AB144" s="101">
        <f t="shared" si="62"/>
        <v>0</v>
      </c>
      <c r="AC144" s="101">
        <f t="shared" si="65"/>
        <v>0</v>
      </c>
      <c r="AD144" s="101">
        <f t="shared" si="66"/>
        <v>0</v>
      </c>
      <c r="AE144" s="101">
        <f t="shared" si="67"/>
        <v>0</v>
      </c>
      <c r="AF144" s="101">
        <f>IF('Simulador CH BX+'!$D$18="Monto de crédito",$F$11*$F$15,AA144*$F$15)</f>
        <v>0</v>
      </c>
      <c r="AG144" s="101">
        <f>IF('Simulador CH BX+'!$D$17="Valor Destructible",IF(M144&gt;$F$8,0,$F$20),IF(M144&gt;$F$8,0,MAX(AA144,$F$10)*$F$19))</f>
        <v>0</v>
      </c>
      <c r="AH144" s="101">
        <f t="shared" si="68"/>
        <v>299</v>
      </c>
      <c r="AI144" s="101">
        <f t="shared" si="69"/>
        <v>299</v>
      </c>
      <c r="AJ144" s="361">
        <f t="shared" si="70"/>
        <v>299</v>
      </c>
    </row>
    <row r="145" spans="1:36" s="2" customFormat="1" ht="13.5" customHeight="1" x14ac:dyDescent="0.25">
      <c r="A145" s="10"/>
      <c r="B145" s="10"/>
      <c r="C145" s="10"/>
      <c r="D145" s="18"/>
      <c r="E145" s="10"/>
      <c r="F145" s="10"/>
      <c r="G145" s="10"/>
      <c r="H145" s="10"/>
      <c r="I145" s="10"/>
      <c r="J145" s="10"/>
      <c r="K145" s="10"/>
      <c r="L145" s="11"/>
      <c r="M145" s="98">
        <v>140</v>
      </c>
      <c r="N145" s="99">
        <f t="shared" si="72"/>
        <v>9.6500000000000002E-2</v>
      </c>
      <c r="O145" s="100">
        <f t="shared" si="63"/>
        <v>0</v>
      </c>
      <c r="P145" s="101">
        <f t="shared" si="57"/>
        <v>0</v>
      </c>
      <c r="Q145" s="101">
        <f t="shared" si="58"/>
        <v>0</v>
      </c>
      <c r="R145" s="101">
        <f t="shared" si="59"/>
        <v>0</v>
      </c>
      <c r="S145" s="101">
        <f t="shared" si="64"/>
        <v>0</v>
      </c>
      <c r="T145" s="101"/>
      <c r="U145" s="101">
        <f>IF('Simulador CH BX+'!$D$18="Monto de crédito",$F$11*$F$15,O145*$F$15)</f>
        <v>0</v>
      </c>
      <c r="V145" s="101">
        <f>IF('Simulador CH BX+'!$D$17="Valor Destructible",IF(O145-$F$18&lt;0,0,$F$18),IF(M145&gt;$F$8,0,MAX(O145,$F$10)*$F$17))</f>
        <v>0</v>
      </c>
      <c r="W145" s="101">
        <f t="shared" si="60"/>
        <v>0</v>
      </c>
      <c r="X145" s="101">
        <f t="shared" si="61"/>
        <v>0</v>
      </c>
      <c r="Y145" s="102">
        <f>'Simulador CH BX+'!M178</f>
        <v>0</v>
      </c>
      <c r="Z145" s="10"/>
      <c r="AA145" s="149">
        <f t="shared" si="71"/>
        <v>0</v>
      </c>
      <c r="AB145" s="101">
        <f t="shared" si="62"/>
        <v>0</v>
      </c>
      <c r="AC145" s="101">
        <f t="shared" si="65"/>
        <v>0</v>
      </c>
      <c r="AD145" s="101">
        <f t="shared" si="66"/>
        <v>0</v>
      </c>
      <c r="AE145" s="101">
        <f t="shared" si="67"/>
        <v>0</v>
      </c>
      <c r="AF145" s="101">
        <f>IF('Simulador CH BX+'!$D$18="Monto de crédito",$F$11*$F$15,AA145*$F$15)</f>
        <v>0</v>
      </c>
      <c r="AG145" s="101">
        <f>IF('Simulador CH BX+'!$D$17="Valor Destructible",IF(M145&gt;$F$8,0,$F$20),IF(M145&gt;$F$8,0,MAX(AA145,$F$10)*$F$19))</f>
        <v>0</v>
      </c>
      <c r="AH145" s="101">
        <f t="shared" si="68"/>
        <v>299</v>
      </c>
      <c r="AI145" s="101">
        <f t="shared" si="69"/>
        <v>299</v>
      </c>
      <c r="AJ145" s="361">
        <f t="shared" si="70"/>
        <v>299</v>
      </c>
    </row>
    <row r="146" spans="1:36" s="2" customFormat="1" ht="13.5" customHeight="1" x14ac:dyDescent="0.25">
      <c r="A146" s="10"/>
      <c r="B146" s="10"/>
      <c r="C146" s="10"/>
      <c r="D146" s="18"/>
      <c r="E146" s="10"/>
      <c r="F146" s="10"/>
      <c r="G146" s="10"/>
      <c r="H146" s="10"/>
      <c r="I146" s="10"/>
      <c r="J146" s="10"/>
      <c r="K146" s="10"/>
      <c r="L146" s="11"/>
      <c r="M146" s="98">
        <v>141</v>
      </c>
      <c r="N146" s="99">
        <f t="shared" si="72"/>
        <v>9.6500000000000002E-2</v>
      </c>
      <c r="O146" s="100">
        <f t="shared" si="63"/>
        <v>0</v>
      </c>
      <c r="P146" s="101">
        <f t="shared" si="57"/>
        <v>0</v>
      </c>
      <c r="Q146" s="101">
        <f t="shared" si="58"/>
        <v>0</v>
      </c>
      <c r="R146" s="101">
        <f t="shared" si="59"/>
        <v>0</v>
      </c>
      <c r="S146" s="101">
        <f t="shared" si="64"/>
        <v>0</v>
      </c>
      <c r="T146" s="101"/>
      <c r="U146" s="101">
        <f>IF('Simulador CH BX+'!$D$18="Monto de crédito",$F$11*$F$15,O146*$F$15)</f>
        <v>0</v>
      </c>
      <c r="V146" s="101">
        <f>IF('Simulador CH BX+'!$D$17="Valor Destructible",IF(O146-$F$18&lt;0,0,$F$18),IF(M146&gt;$F$8,0,MAX(O146,$F$10)*$F$17))</f>
        <v>0</v>
      </c>
      <c r="W146" s="101">
        <f t="shared" si="60"/>
        <v>0</v>
      </c>
      <c r="X146" s="101">
        <f t="shared" si="61"/>
        <v>0</v>
      </c>
      <c r="Y146" s="102">
        <f>'Simulador CH BX+'!M179</f>
        <v>0</v>
      </c>
      <c r="Z146" s="10"/>
      <c r="AA146" s="149">
        <f t="shared" si="71"/>
        <v>0</v>
      </c>
      <c r="AB146" s="101">
        <f t="shared" si="62"/>
        <v>0</v>
      </c>
      <c r="AC146" s="101">
        <f t="shared" si="65"/>
        <v>0</v>
      </c>
      <c r="AD146" s="101">
        <f t="shared" si="66"/>
        <v>0</v>
      </c>
      <c r="AE146" s="101">
        <f t="shared" si="67"/>
        <v>0</v>
      </c>
      <c r="AF146" s="101">
        <f>IF('Simulador CH BX+'!$D$18="Monto de crédito",$F$11*$F$15,AA146*$F$15)</f>
        <v>0</v>
      </c>
      <c r="AG146" s="101">
        <f>IF('Simulador CH BX+'!$D$17="Valor Destructible",IF(M146&gt;$F$8,0,$F$20),IF(M146&gt;$F$8,0,MAX(AA146,$F$10)*$F$19))</f>
        <v>0</v>
      </c>
      <c r="AH146" s="101">
        <f t="shared" si="68"/>
        <v>299</v>
      </c>
      <c r="AI146" s="101">
        <f t="shared" si="69"/>
        <v>299</v>
      </c>
      <c r="AJ146" s="361">
        <f t="shared" si="70"/>
        <v>299</v>
      </c>
    </row>
    <row r="147" spans="1:36" s="2" customFormat="1" ht="13.5" customHeight="1" x14ac:dyDescent="0.25">
      <c r="A147" s="10"/>
      <c r="B147" s="10"/>
      <c r="C147" s="10"/>
      <c r="D147" s="18"/>
      <c r="E147" s="10"/>
      <c r="F147" s="10"/>
      <c r="G147" s="10"/>
      <c r="H147" s="10"/>
      <c r="I147" s="10"/>
      <c r="J147" s="10"/>
      <c r="K147" s="10"/>
      <c r="L147" s="11"/>
      <c r="M147" s="98">
        <v>142</v>
      </c>
      <c r="N147" s="99">
        <f t="shared" si="72"/>
        <v>9.6500000000000002E-2</v>
      </c>
      <c r="O147" s="100">
        <f t="shared" si="63"/>
        <v>0</v>
      </c>
      <c r="P147" s="101">
        <f t="shared" si="57"/>
        <v>0</v>
      </c>
      <c r="Q147" s="101">
        <f t="shared" si="58"/>
        <v>0</v>
      </c>
      <c r="R147" s="101">
        <f t="shared" si="59"/>
        <v>0</v>
      </c>
      <c r="S147" s="101">
        <f t="shared" si="64"/>
        <v>0</v>
      </c>
      <c r="T147" s="101"/>
      <c r="U147" s="101">
        <f>IF('Simulador CH BX+'!$D$18="Monto de crédito",$F$11*$F$15,O147*$F$15)</f>
        <v>0</v>
      </c>
      <c r="V147" s="101">
        <f>IF('Simulador CH BX+'!$D$17="Valor Destructible",IF(O147-$F$18&lt;0,0,$F$18),IF(M147&gt;$F$8,0,MAX(O147,$F$10)*$F$17))</f>
        <v>0</v>
      </c>
      <c r="W147" s="101">
        <f t="shared" si="60"/>
        <v>0</v>
      </c>
      <c r="X147" s="101">
        <f t="shared" si="61"/>
        <v>0</v>
      </c>
      <c r="Y147" s="102">
        <f>'Simulador CH BX+'!M180</f>
        <v>0</v>
      </c>
      <c r="Z147" s="10"/>
      <c r="AA147" s="149">
        <f t="shared" si="71"/>
        <v>0</v>
      </c>
      <c r="AB147" s="101">
        <f t="shared" si="62"/>
        <v>0</v>
      </c>
      <c r="AC147" s="101">
        <f t="shared" si="65"/>
        <v>0</v>
      </c>
      <c r="AD147" s="101">
        <f t="shared" si="66"/>
        <v>0</v>
      </c>
      <c r="AE147" s="101">
        <f t="shared" si="67"/>
        <v>0</v>
      </c>
      <c r="AF147" s="101">
        <f>IF('Simulador CH BX+'!$D$18="Monto de crédito",$F$11*$F$15,AA147*$F$15)</f>
        <v>0</v>
      </c>
      <c r="AG147" s="101">
        <f>IF('Simulador CH BX+'!$D$17="Valor Destructible",IF(M147&gt;$F$8,0,$F$20),IF(M147&gt;$F$8,0,MAX(AA147,$F$10)*$F$19))</f>
        <v>0</v>
      </c>
      <c r="AH147" s="101">
        <f t="shared" si="68"/>
        <v>299</v>
      </c>
      <c r="AI147" s="101">
        <f t="shared" si="69"/>
        <v>299</v>
      </c>
      <c r="AJ147" s="361">
        <f t="shared" si="70"/>
        <v>299</v>
      </c>
    </row>
    <row r="148" spans="1:36" s="2" customFormat="1" ht="13.5" customHeight="1" x14ac:dyDescent="0.25">
      <c r="A148" s="10"/>
      <c r="B148" s="10"/>
      <c r="C148" s="10"/>
      <c r="D148" s="18"/>
      <c r="E148" s="10"/>
      <c r="F148" s="10"/>
      <c r="G148" s="10"/>
      <c r="H148" s="10"/>
      <c r="I148" s="10"/>
      <c r="J148" s="10"/>
      <c r="K148" s="10"/>
      <c r="L148" s="11"/>
      <c r="M148" s="98">
        <v>143</v>
      </c>
      <c r="N148" s="99">
        <f t="shared" si="72"/>
        <v>9.6500000000000002E-2</v>
      </c>
      <c r="O148" s="100">
        <f t="shared" si="63"/>
        <v>0</v>
      </c>
      <c r="P148" s="101">
        <f t="shared" si="57"/>
        <v>0</v>
      </c>
      <c r="Q148" s="101">
        <f t="shared" si="58"/>
        <v>0</v>
      </c>
      <c r="R148" s="101">
        <f t="shared" si="59"/>
        <v>0</v>
      </c>
      <c r="S148" s="101">
        <f t="shared" si="64"/>
        <v>0</v>
      </c>
      <c r="T148" s="101"/>
      <c r="U148" s="101">
        <f>IF('Simulador CH BX+'!$D$18="Monto de crédito",$F$11*$F$15,O148*$F$15)</f>
        <v>0</v>
      </c>
      <c r="V148" s="101">
        <f>IF('Simulador CH BX+'!$D$17="Valor Destructible",IF(O148-$F$18&lt;0,0,$F$18),IF(M148&gt;$F$8,0,MAX(O148,$F$10)*$F$17))</f>
        <v>0</v>
      </c>
      <c r="W148" s="101">
        <f t="shared" si="60"/>
        <v>0</v>
      </c>
      <c r="X148" s="101">
        <f t="shared" si="61"/>
        <v>0</v>
      </c>
      <c r="Y148" s="102">
        <f>'Simulador CH BX+'!M181</f>
        <v>0</v>
      </c>
      <c r="Z148" s="10"/>
      <c r="AA148" s="149">
        <f t="shared" si="71"/>
        <v>0</v>
      </c>
      <c r="AB148" s="101">
        <f t="shared" si="62"/>
        <v>0</v>
      </c>
      <c r="AC148" s="101">
        <f t="shared" si="65"/>
        <v>0</v>
      </c>
      <c r="AD148" s="101">
        <f t="shared" si="66"/>
        <v>0</v>
      </c>
      <c r="AE148" s="101">
        <f t="shared" si="67"/>
        <v>0</v>
      </c>
      <c r="AF148" s="101">
        <f>IF('Simulador CH BX+'!$D$18="Monto de crédito",$F$11*$F$15,AA148*$F$15)</f>
        <v>0</v>
      </c>
      <c r="AG148" s="101">
        <f>IF('Simulador CH BX+'!$D$17="Valor Destructible",IF(M148&gt;$F$8,0,$F$20),IF(M148&gt;$F$8,0,MAX(AA148,$F$10)*$F$19))</f>
        <v>0</v>
      </c>
      <c r="AH148" s="101">
        <f t="shared" si="68"/>
        <v>299</v>
      </c>
      <c r="AI148" s="101">
        <f t="shared" si="69"/>
        <v>299</v>
      </c>
      <c r="AJ148" s="361">
        <f t="shared" si="70"/>
        <v>299</v>
      </c>
    </row>
    <row r="149" spans="1:36" s="2" customFormat="1" ht="13.5" customHeight="1" x14ac:dyDescent="0.25">
      <c r="A149" s="10"/>
      <c r="B149" s="10"/>
      <c r="C149" s="10"/>
      <c r="D149" s="18"/>
      <c r="E149" s="10"/>
      <c r="F149" s="10"/>
      <c r="G149" s="10"/>
      <c r="H149" s="10"/>
      <c r="I149" s="10"/>
      <c r="J149" s="10"/>
      <c r="K149" s="10"/>
      <c r="L149" s="11"/>
      <c r="M149" s="103">
        <v>144</v>
      </c>
      <c r="N149" s="104">
        <f t="shared" si="72"/>
        <v>9.6500000000000002E-2</v>
      </c>
      <c r="O149" s="105">
        <f t="shared" si="63"/>
        <v>0</v>
      </c>
      <c r="P149" s="106">
        <f t="shared" si="57"/>
        <v>0</v>
      </c>
      <c r="Q149" s="106">
        <f t="shared" si="58"/>
        <v>0</v>
      </c>
      <c r="R149" s="106">
        <f t="shared" si="59"/>
        <v>0</v>
      </c>
      <c r="S149" s="106">
        <f t="shared" si="64"/>
        <v>0</v>
      </c>
      <c r="T149" s="106">
        <f>$F$24</f>
        <v>0</v>
      </c>
      <c r="U149" s="106">
        <f>IF('Simulador CH BX+'!$D$18="Monto de crédito",$F$11*$F$15,O149*$F$15)</f>
        <v>0</v>
      </c>
      <c r="V149" s="106">
        <f>IF('Simulador CH BX+'!$D$17="Valor Destructible",IF(O149-$F$18&lt;0,0,$F$18),IF(M149&gt;$F$8,0,MAX(O149,$F$10)*$F$17))</f>
        <v>0</v>
      </c>
      <c r="W149" s="106">
        <f t="shared" si="60"/>
        <v>0</v>
      </c>
      <c r="X149" s="106">
        <f t="shared" si="61"/>
        <v>0</v>
      </c>
      <c r="Y149" s="107">
        <f>'Simulador CH BX+'!M182</f>
        <v>0</v>
      </c>
      <c r="Z149" s="10"/>
      <c r="AA149" s="150">
        <f t="shared" si="71"/>
        <v>0</v>
      </c>
      <c r="AB149" s="106">
        <f t="shared" si="62"/>
        <v>0</v>
      </c>
      <c r="AC149" s="106">
        <f t="shared" si="65"/>
        <v>0</v>
      </c>
      <c r="AD149" s="106">
        <f t="shared" si="66"/>
        <v>0</v>
      </c>
      <c r="AE149" s="106">
        <f t="shared" si="67"/>
        <v>0</v>
      </c>
      <c r="AF149" s="106">
        <f>IF('Simulador CH BX+'!$D$18="Monto de crédito",$F$11*$F$15,AA149*$F$15)</f>
        <v>0</v>
      </c>
      <c r="AG149" s="106">
        <f>IF('Simulador CH BX+'!$D$17="Valor Destructible",IF(M149&gt;$F$8,0,$F$20),IF(M149&gt;$F$8,0,MAX(AA149,$F$10)*$F$19))</f>
        <v>0</v>
      </c>
      <c r="AH149" s="106">
        <f t="shared" si="68"/>
        <v>299</v>
      </c>
      <c r="AI149" s="106">
        <f t="shared" si="69"/>
        <v>299</v>
      </c>
      <c r="AJ149" s="362">
        <f t="shared" si="70"/>
        <v>299</v>
      </c>
    </row>
    <row r="150" spans="1:36" s="2" customFormat="1" ht="13.5" customHeight="1" x14ac:dyDescent="0.25">
      <c r="A150" s="10"/>
      <c r="B150" s="10"/>
      <c r="C150" s="10"/>
      <c r="D150" s="18"/>
      <c r="E150" s="10"/>
      <c r="F150" s="10"/>
      <c r="G150" s="10"/>
      <c r="H150" s="10"/>
      <c r="I150" s="10"/>
      <c r="J150" s="10"/>
      <c r="K150" s="10"/>
      <c r="L150" s="11"/>
      <c r="M150" s="98">
        <v>145</v>
      </c>
      <c r="N150" s="99">
        <f t="shared" ref="N150:N161" si="73">C$31</f>
        <v>9.6500000000000002E-2</v>
      </c>
      <c r="O150" s="100">
        <f t="shared" si="63"/>
        <v>0</v>
      </c>
      <c r="P150" s="101">
        <f t="shared" si="57"/>
        <v>0</v>
      </c>
      <c r="Q150" s="101">
        <f t="shared" si="58"/>
        <v>0</v>
      </c>
      <c r="R150" s="101">
        <f t="shared" si="59"/>
        <v>0</v>
      </c>
      <c r="S150" s="101">
        <f t="shared" si="64"/>
        <v>0</v>
      </c>
      <c r="T150" s="101"/>
      <c r="U150" s="101">
        <f>IF('Simulador CH BX+'!$D$18="Monto de crédito",$F$11*$F$15,O150*$F$15)</f>
        <v>0</v>
      </c>
      <c r="V150" s="101">
        <f>IF('Simulador CH BX+'!$D$17="Valor Destructible",IF(O150-$F$18&lt;0,0,$F$18),IF(M150&gt;$F$8,0,MAX(O150,$F$10)*$F$17))</f>
        <v>0</v>
      </c>
      <c r="W150" s="101">
        <f t="shared" si="60"/>
        <v>0</v>
      </c>
      <c r="X150" s="101">
        <f t="shared" si="61"/>
        <v>0</v>
      </c>
      <c r="Y150" s="102">
        <f>'Simulador CH BX+'!M183</f>
        <v>0</v>
      </c>
      <c r="Z150" s="10"/>
      <c r="AA150" s="149">
        <f t="shared" si="71"/>
        <v>0</v>
      </c>
      <c r="AB150" s="101">
        <f t="shared" si="62"/>
        <v>0</v>
      </c>
      <c r="AC150" s="101">
        <f t="shared" si="65"/>
        <v>0</v>
      </c>
      <c r="AD150" s="101">
        <f t="shared" si="66"/>
        <v>0</v>
      </c>
      <c r="AE150" s="101">
        <f t="shared" si="67"/>
        <v>0</v>
      </c>
      <c r="AF150" s="101">
        <f>IF('Simulador CH BX+'!$D$18="Monto de crédito",$F$11*$F$15,AA150*$F$15)</f>
        <v>0</v>
      </c>
      <c r="AG150" s="101">
        <f>IF('Simulador CH BX+'!$D$17="Valor Destructible",IF(M150&gt;$F$8,0,$F$20),IF(M150&gt;$F$8,0,MAX(AA150,$F$10)*$F$19))</f>
        <v>0</v>
      </c>
      <c r="AH150" s="101">
        <f t="shared" si="68"/>
        <v>299</v>
      </c>
      <c r="AI150" s="101">
        <f t="shared" si="69"/>
        <v>299</v>
      </c>
      <c r="AJ150" s="361">
        <f t="shared" si="70"/>
        <v>299</v>
      </c>
    </row>
    <row r="151" spans="1:36" s="2" customFormat="1" ht="13.5" customHeight="1" x14ac:dyDescent="0.25">
      <c r="A151" s="10"/>
      <c r="B151" s="10"/>
      <c r="C151" s="10"/>
      <c r="D151" s="18"/>
      <c r="E151" s="10"/>
      <c r="F151" s="10"/>
      <c r="G151" s="10"/>
      <c r="H151" s="10"/>
      <c r="I151" s="10"/>
      <c r="J151" s="10"/>
      <c r="K151" s="10"/>
      <c r="L151" s="11"/>
      <c r="M151" s="98">
        <v>146</v>
      </c>
      <c r="N151" s="99">
        <f t="shared" si="73"/>
        <v>9.6500000000000002E-2</v>
      </c>
      <c r="O151" s="100">
        <f t="shared" si="63"/>
        <v>0</v>
      </c>
      <c r="P151" s="101">
        <f t="shared" si="57"/>
        <v>0</v>
      </c>
      <c r="Q151" s="101">
        <f t="shared" si="58"/>
        <v>0</v>
      </c>
      <c r="R151" s="101">
        <f t="shared" si="59"/>
        <v>0</v>
      </c>
      <c r="S151" s="101">
        <f t="shared" si="64"/>
        <v>0</v>
      </c>
      <c r="T151" s="101"/>
      <c r="U151" s="101">
        <f>IF('Simulador CH BX+'!$D$18="Monto de crédito",$F$11*$F$15,O151*$F$15)</f>
        <v>0</v>
      </c>
      <c r="V151" s="101">
        <f>IF('Simulador CH BX+'!$D$17="Valor Destructible",IF(O151-$F$18&lt;0,0,$F$18),IF(M151&gt;$F$8,0,MAX(O151,$F$10)*$F$17))</f>
        <v>0</v>
      </c>
      <c r="W151" s="101">
        <f t="shared" si="60"/>
        <v>0</v>
      </c>
      <c r="X151" s="101">
        <f t="shared" si="61"/>
        <v>0</v>
      </c>
      <c r="Y151" s="102">
        <f>'Simulador CH BX+'!M184</f>
        <v>0</v>
      </c>
      <c r="Z151" s="10"/>
      <c r="AA151" s="149">
        <f t="shared" si="71"/>
        <v>0</v>
      </c>
      <c r="AB151" s="101">
        <f t="shared" si="62"/>
        <v>0</v>
      </c>
      <c r="AC151" s="101">
        <f t="shared" si="65"/>
        <v>0</v>
      </c>
      <c r="AD151" s="101">
        <f t="shared" si="66"/>
        <v>0</v>
      </c>
      <c r="AE151" s="101">
        <f t="shared" si="67"/>
        <v>0</v>
      </c>
      <c r="AF151" s="101">
        <f>IF('Simulador CH BX+'!$D$18="Monto de crédito",$F$11*$F$15,AA151*$F$15)</f>
        <v>0</v>
      </c>
      <c r="AG151" s="101">
        <f>IF('Simulador CH BX+'!$D$17="Valor Destructible",IF(M151&gt;$F$8,0,$F$20),IF(M151&gt;$F$8,0,MAX(AA151,$F$10)*$F$19))</f>
        <v>0</v>
      </c>
      <c r="AH151" s="101">
        <f t="shared" si="68"/>
        <v>299</v>
      </c>
      <c r="AI151" s="101">
        <f t="shared" si="69"/>
        <v>299</v>
      </c>
      <c r="AJ151" s="361">
        <f t="shared" si="70"/>
        <v>299</v>
      </c>
    </row>
    <row r="152" spans="1:36" s="2" customFormat="1" ht="13.5" customHeight="1" x14ac:dyDescent="0.25">
      <c r="A152" s="10"/>
      <c r="B152" s="10"/>
      <c r="C152" s="10"/>
      <c r="D152" s="18"/>
      <c r="E152" s="10"/>
      <c r="F152" s="10"/>
      <c r="G152" s="10"/>
      <c r="H152" s="10"/>
      <c r="I152" s="10"/>
      <c r="J152" s="10"/>
      <c r="K152" s="10"/>
      <c r="L152" s="11"/>
      <c r="M152" s="98">
        <v>147</v>
      </c>
      <c r="N152" s="99">
        <f t="shared" si="73"/>
        <v>9.6500000000000002E-2</v>
      </c>
      <c r="O152" s="100">
        <f t="shared" si="63"/>
        <v>0</v>
      </c>
      <c r="P152" s="101">
        <f t="shared" si="57"/>
        <v>0</v>
      </c>
      <c r="Q152" s="101">
        <f t="shared" si="58"/>
        <v>0</v>
      </c>
      <c r="R152" s="101">
        <f t="shared" si="59"/>
        <v>0</v>
      </c>
      <c r="S152" s="101">
        <f t="shared" si="64"/>
        <v>0</v>
      </c>
      <c r="T152" s="101"/>
      <c r="U152" s="101">
        <f>IF('Simulador CH BX+'!$D$18="Monto de crédito",$F$11*$F$15,O152*$F$15)</f>
        <v>0</v>
      </c>
      <c r="V152" s="101">
        <f>IF('Simulador CH BX+'!$D$17="Valor Destructible",IF(O152-$F$18&lt;0,0,$F$18),IF(M152&gt;$F$8,0,MAX(O152,$F$10)*$F$17))</f>
        <v>0</v>
      </c>
      <c r="W152" s="101">
        <f t="shared" si="60"/>
        <v>0</v>
      </c>
      <c r="X152" s="101">
        <f t="shared" si="61"/>
        <v>0</v>
      </c>
      <c r="Y152" s="102">
        <f>'Simulador CH BX+'!M185</f>
        <v>0</v>
      </c>
      <c r="Z152" s="10"/>
      <c r="AA152" s="149">
        <f t="shared" si="71"/>
        <v>0</v>
      </c>
      <c r="AB152" s="101">
        <f t="shared" si="62"/>
        <v>0</v>
      </c>
      <c r="AC152" s="101">
        <f t="shared" si="65"/>
        <v>0</v>
      </c>
      <c r="AD152" s="101">
        <f t="shared" si="66"/>
        <v>0</v>
      </c>
      <c r="AE152" s="101">
        <f t="shared" si="67"/>
        <v>0</v>
      </c>
      <c r="AF152" s="101">
        <f>IF('Simulador CH BX+'!$D$18="Monto de crédito",$F$11*$F$15,AA152*$F$15)</f>
        <v>0</v>
      </c>
      <c r="AG152" s="101">
        <f>IF('Simulador CH BX+'!$D$17="Valor Destructible",IF(M152&gt;$F$8,0,$F$20),IF(M152&gt;$F$8,0,MAX(AA152,$F$10)*$F$19))</f>
        <v>0</v>
      </c>
      <c r="AH152" s="101">
        <f t="shared" si="68"/>
        <v>299</v>
      </c>
      <c r="AI152" s="101">
        <f t="shared" si="69"/>
        <v>299</v>
      </c>
      <c r="AJ152" s="361">
        <f t="shared" si="70"/>
        <v>299</v>
      </c>
    </row>
    <row r="153" spans="1:36" s="2" customFormat="1" ht="13.5" customHeight="1" x14ac:dyDescent="0.25">
      <c r="A153" s="10"/>
      <c r="B153" s="10"/>
      <c r="C153" s="10"/>
      <c r="D153" s="18"/>
      <c r="E153" s="10"/>
      <c r="F153" s="10"/>
      <c r="G153" s="10"/>
      <c r="H153" s="10"/>
      <c r="I153" s="10"/>
      <c r="J153" s="10"/>
      <c r="K153" s="10"/>
      <c r="L153" s="11"/>
      <c r="M153" s="98">
        <v>148</v>
      </c>
      <c r="N153" s="99">
        <f t="shared" si="73"/>
        <v>9.6500000000000002E-2</v>
      </c>
      <c r="O153" s="100">
        <f t="shared" si="63"/>
        <v>0</v>
      </c>
      <c r="P153" s="101">
        <f t="shared" si="57"/>
        <v>0</v>
      </c>
      <c r="Q153" s="101">
        <f t="shared" si="58"/>
        <v>0</v>
      </c>
      <c r="R153" s="101">
        <f t="shared" si="59"/>
        <v>0</v>
      </c>
      <c r="S153" s="101">
        <f t="shared" si="64"/>
        <v>0</v>
      </c>
      <c r="T153" s="101"/>
      <c r="U153" s="101">
        <f>IF('Simulador CH BX+'!$D$18="Monto de crédito",$F$11*$F$15,O153*$F$15)</f>
        <v>0</v>
      </c>
      <c r="V153" s="101">
        <f>IF('Simulador CH BX+'!$D$17="Valor Destructible",IF(O153-$F$18&lt;0,0,$F$18),IF(M153&gt;$F$8,0,MAX(O153,$F$10)*$F$17))</f>
        <v>0</v>
      </c>
      <c r="W153" s="101">
        <f t="shared" si="60"/>
        <v>0</v>
      </c>
      <c r="X153" s="101">
        <f t="shared" si="61"/>
        <v>0</v>
      </c>
      <c r="Y153" s="102">
        <f>'Simulador CH BX+'!M186</f>
        <v>0</v>
      </c>
      <c r="Z153" s="10"/>
      <c r="AA153" s="149">
        <f t="shared" si="71"/>
        <v>0</v>
      </c>
      <c r="AB153" s="101">
        <f t="shared" si="62"/>
        <v>0</v>
      </c>
      <c r="AC153" s="101">
        <f t="shared" si="65"/>
        <v>0</v>
      </c>
      <c r="AD153" s="101">
        <f t="shared" si="66"/>
        <v>0</v>
      </c>
      <c r="AE153" s="101">
        <f t="shared" si="67"/>
        <v>0</v>
      </c>
      <c r="AF153" s="101">
        <f>IF('Simulador CH BX+'!$D$18="Monto de crédito",$F$11*$F$15,AA153*$F$15)</f>
        <v>0</v>
      </c>
      <c r="AG153" s="101">
        <f>IF('Simulador CH BX+'!$D$17="Valor Destructible",IF(M153&gt;$F$8,0,$F$20),IF(M153&gt;$F$8,0,MAX(AA153,$F$10)*$F$19))</f>
        <v>0</v>
      </c>
      <c r="AH153" s="101">
        <f t="shared" si="68"/>
        <v>299</v>
      </c>
      <c r="AI153" s="101">
        <f t="shared" si="69"/>
        <v>299</v>
      </c>
      <c r="AJ153" s="361">
        <f t="shared" si="70"/>
        <v>299</v>
      </c>
    </row>
    <row r="154" spans="1:36" s="2" customFormat="1" ht="13.5" customHeight="1" x14ac:dyDescent="0.25">
      <c r="A154" s="10"/>
      <c r="B154" s="10"/>
      <c r="C154" s="10"/>
      <c r="D154" s="18"/>
      <c r="E154" s="10"/>
      <c r="F154" s="10"/>
      <c r="G154" s="10"/>
      <c r="H154" s="10"/>
      <c r="I154" s="10"/>
      <c r="J154" s="10"/>
      <c r="K154" s="10"/>
      <c r="L154" s="11"/>
      <c r="M154" s="98">
        <v>149</v>
      </c>
      <c r="N154" s="99">
        <f t="shared" si="73"/>
        <v>9.6500000000000002E-2</v>
      </c>
      <c r="O154" s="100">
        <f t="shared" si="63"/>
        <v>0</v>
      </c>
      <c r="P154" s="101">
        <f t="shared" si="57"/>
        <v>0</v>
      </c>
      <c r="Q154" s="101">
        <f t="shared" si="58"/>
        <v>0</v>
      </c>
      <c r="R154" s="101">
        <f t="shared" si="59"/>
        <v>0</v>
      </c>
      <c r="S154" s="101">
        <f t="shared" si="64"/>
        <v>0</v>
      </c>
      <c r="T154" s="101"/>
      <c r="U154" s="101">
        <f>IF('Simulador CH BX+'!$D$18="Monto de crédito",$F$11*$F$15,O154*$F$15)</f>
        <v>0</v>
      </c>
      <c r="V154" s="101">
        <f>IF('Simulador CH BX+'!$D$17="Valor Destructible",IF(O154-$F$18&lt;0,0,$F$18),IF(M154&gt;$F$8,0,MAX(O154,$F$10)*$F$17))</f>
        <v>0</v>
      </c>
      <c r="W154" s="101">
        <f t="shared" si="60"/>
        <v>0</v>
      </c>
      <c r="X154" s="101">
        <f t="shared" si="61"/>
        <v>0</v>
      </c>
      <c r="Y154" s="102">
        <f>'Simulador CH BX+'!M187</f>
        <v>0</v>
      </c>
      <c r="Z154" s="10"/>
      <c r="AA154" s="149">
        <f t="shared" si="71"/>
        <v>0</v>
      </c>
      <c r="AB154" s="101">
        <f t="shared" si="62"/>
        <v>0</v>
      </c>
      <c r="AC154" s="101">
        <f t="shared" si="65"/>
        <v>0</v>
      </c>
      <c r="AD154" s="101">
        <f t="shared" si="66"/>
        <v>0</v>
      </c>
      <c r="AE154" s="101">
        <f t="shared" si="67"/>
        <v>0</v>
      </c>
      <c r="AF154" s="101">
        <f>IF('Simulador CH BX+'!$D$18="Monto de crédito",$F$11*$F$15,AA154*$F$15)</f>
        <v>0</v>
      </c>
      <c r="AG154" s="101">
        <f>IF('Simulador CH BX+'!$D$17="Valor Destructible",IF(M154&gt;$F$8,0,$F$20),IF(M154&gt;$F$8,0,MAX(AA154,$F$10)*$F$19))</f>
        <v>0</v>
      </c>
      <c r="AH154" s="101">
        <f t="shared" si="68"/>
        <v>299</v>
      </c>
      <c r="AI154" s="101">
        <f t="shared" si="69"/>
        <v>299</v>
      </c>
      <c r="AJ154" s="361">
        <f t="shared" si="70"/>
        <v>299</v>
      </c>
    </row>
    <row r="155" spans="1:36" s="2" customFormat="1" ht="13.5" customHeight="1" x14ac:dyDescent="0.25">
      <c r="A155" s="10"/>
      <c r="B155" s="10"/>
      <c r="C155" s="10"/>
      <c r="D155" s="18"/>
      <c r="E155" s="10"/>
      <c r="F155" s="10"/>
      <c r="G155" s="10"/>
      <c r="H155" s="10"/>
      <c r="I155" s="10"/>
      <c r="J155" s="10"/>
      <c r="K155" s="10"/>
      <c r="L155" s="11"/>
      <c r="M155" s="98">
        <v>150</v>
      </c>
      <c r="N155" s="99">
        <f t="shared" si="73"/>
        <v>9.6500000000000002E-2</v>
      </c>
      <c r="O155" s="100">
        <f t="shared" si="63"/>
        <v>0</v>
      </c>
      <c r="P155" s="101">
        <f t="shared" si="57"/>
        <v>0</v>
      </c>
      <c r="Q155" s="101">
        <f t="shared" si="58"/>
        <v>0</v>
      </c>
      <c r="R155" s="101">
        <f t="shared" si="59"/>
        <v>0</v>
      </c>
      <c r="S155" s="101">
        <f t="shared" si="64"/>
        <v>0</v>
      </c>
      <c r="T155" s="101"/>
      <c r="U155" s="101">
        <f>IF('Simulador CH BX+'!$D$18="Monto de crédito",$F$11*$F$15,O155*$F$15)</f>
        <v>0</v>
      </c>
      <c r="V155" s="101">
        <f>IF('Simulador CH BX+'!$D$17="Valor Destructible",IF(O155-$F$18&lt;0,0,$F$18),IF(M155&gt;$F$8,0,MAX(O155,$F$10)*$F$17))</f>
        <v>0</v>
      </c>
      <c r="W155" s="101">
        <f t="shared" si="60"/>
        <v>0</v>
      </c>
      <c r="X155" s="101">
        <f t="shared" si="61"/>
        <v>0</v>
      </c>
      <c r="Y155" s="102">
        <f>'Simulador CH BX+'!M188</f>
        <v>0</v>
      </c>
      <c r="Z155" s="10"/>
      <c r="AA155" s="149">
        <f t="shared" si="71"/>
        <v>0</v>
      </c>
      <c r="AB155" s="101">
        <f t="shared" si="62"/>
        <v>0</v>
      </c>
      <c r="AC155" s="101">
        <f t="shared" si="65"/>
        <v>0</v>
      </c>
      <c r="AD155" s="101">
        <f t="shared" si="66"/>
        <v>0</v>
      </c>
      <c r="AE155" s="101">
        <f t="shared" si="67"/>
        <v>0</v>
      </c>
      <c r="AF155" s="101">
        <f>IF('Simulador CH BX+'!$D$18="Monto de crédito",$F$11*$F$15,AA155*$F$15)</f>
        <v>0</v>
      </c>
      <c r="AG155" s="101">
        <f>IF('Simulador CH BX+'!$D$17="Valor Destructible",IF(M155&gt;$F$8,0,$F$20),IF(M155&gt;$F$8,0,MAX(AA155,$F$10)*$F$19))</f>
        <v>0</v>
      </c>
      <c r="AH155" s="101">
        <f t="shared" si="68"/>
        <v>299</v>
      </c>
      <c r="AI155" s="101">
        <f t="shared" si="69"/>
        <v>299</v>
      </c>
      <c r="AJ155" s="361">
        <f t="shared" si="70"/>
        <v>299</v>
      </c>
    </row>
    <row r="156" spans="1:36" s="2" customFormat="1" ht="13.5" customHeight="1" x14ac:dyDescent="0.25">
      <c r="A156" s="10"/>
      <c r="B156" s="10"/>
      <c r="C156" s="10"/>
      <c r="D156" s="18"/>
      <c r="E156" s="10"/>
      <c r="F156" s="10"/>
      <c r="G156" s="10"/>
      <c r="H156" s="10"/>
      <c r="I156" s="10"/>
      <c r="J156" s="10"/>
      <c r="K156" s="10"/>
      <c r="L156" s="11"/>
      <c r="M156" s="98">
        <v>151</v>
      </c>
      <c r="N156" s="99">
        <f t="shared" si="73"/>
        <v>9.6500000000000002E-2</v>
      </c>
      <c r="O156" s="100">
        <f t="shared" si="63"/>
        <v>0</v>
      </c>
      <c r="P156" s="101">
        <f t="shared" si="57"/>
        <v>0</v>
      </c>
      <c r="Q156" s="101">
        <f t="shared" si="58"/>
        <v>0</v>
      </c>
      <c r="R156" s="101">
        <f t="shared" si="59"/>
        <v>0</v>
      </c>
      <c r="S156" s="101">
        <f t="shared" si="64"/>
        <v>0</v>
      </c>
      <c r="T156" s="101"/>
      <c r="U156" s="101">
        <f>IF('Simulador CH BX+'!$D$18="Monto de crédito",$F$11*$F$15,O156*$F$15)</f>
        <v>0</v>
      </c>
      <c r="V156" s="101">
        <f>IF('Simulador CH BX+'!$D$17="Valor Destructible",IF(O156-$F$18&lt;0,0,$F$18),IF(M156&gt;$F$8,0,MAX(O156,$F$10)*$F$17))</f>
        <v>0</v>
      </c>
      <c r="W156" s="101">
        <f t="shared" si="60"/>
        <v>0</v>
      </c>
      <c r="X156" s="101">
        <f t="shared" si="61"/>
        <v>0</v>
      </c>
      <c r="Y156" s="102">
        <f>'Simulador CH BX+'!M189</f>
        <v>0</v>
      </c>
      <c r="Z156" s="10"/>
      <c r="AA156" s="149">
        <f t="shared" si="71"/>
        <v>0</v>
      </c>
      <c r="AB156" s="101">
        <f t="shared" si="62"/>
        <v>0</v>
      </c>
      <c r="AC156" s="101">
        <f t="shared" si="65"/>
        <v>0</v>
      </c>
      <c r="AD156" s="101">
        <f t="shared" si="66"/>
        <v>0</v>
      </c>
      <c r="AE156" s="101">
        <f t="shared" si="67"/>
        <v>0</v>
      </c>
      <c r="AF156" s="101">
        <f>IF('Simulador CH BX+'!$D$18="Monto de crédito",$F$11*$F$15,AA156*$F$15)</f>
        <v>0</v>
      </c>
      <c r="AG156" s="101">
        <f>IF('Simulador CH BX+'!$D$17="Valor Destructible",IF(M156&gt;$F$8,0,$F$20),IF(M156&gt;$F$8,0,MAX(AA156,$F$10)*$F$19))</f>
        <v>0</v>
      </c>
      <c r="AH156" s="101">
        <f t="shared" si="68"/>
        <v>299</v>
      </c>
      <c r="AI156" s="101">
        <f t="shared" si="69"/>
        <v>299</v>
      </c>
      <c r="AJ156" s="361">
        <f t="shared" si="70"/>
        <v>299</v>
      </c>
    </row>
    <row r="157" spans="1:36" s="2" customFormat="1" ht="13.5" customHeight="1" x14ac:dyDescent="0.25">
      <c r="A157" s="10"/>
      <c r="B157" s="10"/>
      <c r="C157" s="10"/>
      <c r="D157" s="18"/>
      <c r="E157" s="10"/>
      <c r="F157" s="10"/>
      <c r="G157" s="10"/>
      <c r="H157" s="10"/>
      <c r="I157" s="10"/>
      <c r="J157" s="10"/>
      <c r="K157" s="10"/>
      <c r="L157" s="11"/>
      <c r="M157" s="98">
        <v>152</v>
      </c>
      <c r="N157" s="99">
        <f t="shared" si="73"/>
        <v>9.6500000000000002E-2</v>
      </c>
      <c r="O157" s="100">
        <f t="shared" si="63"/>
        <v>0</v>
      </c>
      <c r="P157" s="101">
        <f t="shared" si="57"/>
        <v>0</v>
      </c>
      <c r="Q157" s="101">
        <f t="shared" si="58"/>
        <v>0</v>
      </c>
      <c r="R157" s="101">
        <f t="shared" si="59"/>
        <v>0</v>
      </c>
      <c r="S157" s="101">
        <f t="shared" si="64"/>
        <v>0</v>
      </c>
      <c r="T157" s="101"/>
      <c r="U157" s="101">
        <f>IF('Simulador CH BX+'!$D$18="Monto de crédito",$F$11*$F$15,O157*$F$15)</f>
        <v>0</v>
      </c>
      <c r="V157" s="101">
        <f>IF('Simulador CH BX+'!$D$17="Valor Destructible",IF(O157-$F$18&lt;0,0,$F$18),IF(M157&gt;$F$8,0,MAX(O157,$F$10)*$F$17))</f>
        <v>0</v>
      </c>
      <c r="W157" s="101">
        <f t="shared" si="60"/>
        <v>0</v>
      </c>
      <c r="X157" s="101">
        <f t="shared" si="61"/>
        <v>0</v>
      </c>
      <c r="Y157" s="102">
        <f>'Simulador CH BX+'!M190</f>
        <v>0</v>
      </c>
      <c r="Z157" s="10"/>
      <c r="AA157" s="149">
        <f t="shared" si="71"/>
        <v>0</v>
      </c>
      <c r="AB157" s="101">
        <f t="shared" si="62"/>
        <v>0</v>
      </c>
      <c r="AC157" s="101">
        <f t="shared" si="65"/>
        <v>0</v>
      </c>
      <c r="AD157" s="101">
        <f t="shared" si="66"/>
        <v>0</v>
      </c>
      <c r="AE157" s="101">
        <f t="shared" si="67"/>
        <v>0</v>
      </c>
      <c r="AF157" s="101">
        <f>IF('Simulador CH BX+'!$D$18="Monto de crédito",$F$11*$F$15,AA157*$F$15)</f>
        <v>0</v>
      </c>
      <c r="AG157" s="101">
        <f>IF('Simulador CH BX+'!$D$17="Valor Destructible",IF(M157&gt;$F$8,0,$F$20),IF(M157&gt;$F$8,0,MAX(AA157,$F$10)*$F$19))</f>
        <v>0</v>
      </c>
      <c r="AH157" s="101">
        <f t="shared" si="68"/>
        <v>299</v>
      </c>
      <c r="AI157" s="101">
        <f t="shared" si="69"/>
        <v>299</v>
      </c>
      <c r="AJ157" s="361">
        <f t="shared" si="70"/>
        <v>299</v>
      </c>
    </row>
    <row r="158" spans="1:36" s="2" customFormat="1" ht="13.5" customHeight="1" x14ac:dyDescent="0.25">
      <c r="A158" s="10"/>
      <c r="B158" s="10"/>
      <c r="C158" s="10"/>
      <c r="D158" s="18"/>
      <c r="E158" s="10"/>
      <c r="F158" s="10"/>
      <c r="G158" s="10"/>
      <c r="H158" s="10"/>
      <c r="I158" s="10"/>
      <c r="J158" s="10"/>
      <c r="K158" s="10"/>
      <c r="L158" s="11"/>
      <c r="M158" s="98">
        <v>153</v>
      </c>
      <c r="N158" s="99">
        <f t="shared" si="73"/>
        <v>9.6500000000000002E-2</v>
      </c>
      <c r="O158" s="100">
        <f t="shared" si="63"/>
        <v>0</v>
      </c>
      <c r="P158" s="101">
        <f t="shared" si="57"/>
        <v>0</v>
      </c>
      <c r="Q158" s="101">
        <f t="shared" si="58"/>
        <v>0</v>
      </c>
      <c r="R158" s="101">
        <f t="shared" si="59"/>
        <v>0</v>
      </c>
      <c r="S158" s="101">
        <f t="shared" si="64"/>
        <v>0</v>
      </c>
      <c r="T158" s="101"/>
      <c r="U158" s="101">
        <f>IF('Simulador CH BX+'!$D$18="Monto de crédito",$F$11*$F$15,O158*$F$15)</f>
        <v>0</v>
      </c>
      <c r="V158" s="101">
        <f>IF('Simulador CH BX+'!$D$17="Valor Destructible",IF(O158-$F$18&lt;0,0,$F$18),IF(M158&gt;$F$8,0,MAX(O158,$F$10)*$F$17))</f>
        <v>0</v>
      </c>
      <c r="W158" s="101">
        <f t="shared" si="60"/>
        <v>0</v>
      </c>
      <c r="X158" s="101">
        <f t="shared" si="61"/>
        <v>0</v>
      </c>
      <c r="Y158" s="102">
        <f>'Simulador CH BX+'!M191</f>
        <v>0</v>
      </c>
      <c r="Z158" s="10"/>
      <c r="AA158" s="149">
        <f t="shared" si="71"/>
        <v>0</v>
      </c>
      <c r="AB158" s="101">
        <f t="shared" si="62"/>
        <v>0</v>
      </c>
      <c r="AC158" s="101">
        <f t="shared" si="65"/>
        <v>0</v>
      </c>
      <c r="AD158" s="101">
        <f t="shared" si="66"/>
        <v>0</v>
      </c>
      <c r="AE158" s="101">
        <f t="shared" si="67"/>
        <v>0</v>
      </c>
      <c r="AF158" s="101">
        <f>IF('Simulador CH BX+'!$D$18="Monto de crédito",$F$11*$F$15,AA158*$F$15)</f>
        <v>0</v>
      </c>
      <c r="AG158" s="101">
        <f>IF('Simulador CH BX+'!$D$17="Valor Destructible",IF(M158&gt;$F$8,0,$F$20),IF(M158&gt;$F$8,0,MAX(AA158,$F$10)*$F$19))</f>
        <v>0</v>
      </c>
      <c r="AH158" s="101">
        <f t="shared" si="68"/>
        <v>299</v>
      </c>
      <c r="AI158" s="101">
        <f t="shared" si="69"/>
        <v>299</v>
      </c>
      <c r="AJ158" s="361">
        <f t="shared" si="70"/>
        <v>299</v>
      </c>
    </row>
    <row r="159" spans="1:36" s="2" customFormat="1" ht="13.5" customHeight="1" x14ac:dyDescent="0.25">
      <c r="A159" s="10"/>
      <c r="B159" s="10"/>
      <c r="C159" s="10"/>
      <c r="D159" s="18"/>
      <c r="E159" s="10"/>
      <c r="F159" s="10"/>
      <c r="G159" s="10"/>
      <c r="H159" s="10"/>
      <c r="I159" s="10"/>
      <c r="J159" s="10"/>
      <c r="K159" s="10"/>
      <c r="L159" s="11"/>
      <c r="M159" s="98">
        <v>154</v>
      </c>
      <c r="N159" s="99">
        <f t="shared" si="73"/>
        <v>9.6500000000000002E-2</v>
      </c>
      <c r="O159" s="100">
        <f t="shared" si="63"/>
        <v>0</v>
      </c>
      <c r="P159" s="101">
        <f t="shared" si="57"/>
        <v>0</v>
      </c>
      <c r="Q159" s="101">
        <f t="shared" si="58"/>
        <v>0</v>
      </c>
      <c r="R159" s="101">
        <f t="shared" si="59"/>
        <v>0</v>
      </c>
      <c r="S159" s="101">
        <f t="shared" si="64"/>
        <v>0</v>
      </c>
      <c r="T159" s="101"/>
      <c r="U159" s="101">
        <f>IF('Simulador CH BX+'!$D$18="Monto de crédito",$F$11*$F$15,O159*$F$15)</f>
        <v>0</v>
      </c>
      <c r="V159" s="101">
        <f>IF('Simulador CH BX+'!$D$17="Valor Destructible",IF(O159-$F$18&lt;0,0,$F$18),IF(M159&gt;$F$8,0,MAX(O159,$F$10)*$F$17))</f>
        <v>0</v>
      </c>
      <c r="W159" s="101">
        <f t="shared" si="60"/>
        <v>0</v>
      </c>
      <c r="X159" s="101">
        <f t="shared" si="61"/>
        <v>0</v>
      </c>
      <c r="Y159" s="102">
        <f>'Simulador CH BX+'!M192</f>
        <v>0</v>
      </c>
      <c r="Z159" s="10"/>
      <c r="AA159" s="149">
        <f t="shared" si="71"/>
        <v>0</v>
      </c>
      <c r="AB159" s="101">
        <f t="shared" si="62"/>
        <v>0</v>
      </c>
      <c r="AC159" s="101">
        <f t="shared" si="65"/>
        <v>0</v>
      </c>
      <c r="AD159" s="101">
        <f t="shared" si="66"/>
        <v>0</v>
      </c>
      <c r="AE159" s="101">
        <f t="shared" si="67"/>
        <v>0</v>
      </c>
      <c r="AF159" s="101">
        <f>IF('Simulador CH BX+'!$D$18="Monto de crédito",$F$11*$F$15,AA159*$F$15)</f>
        <v>0</v>
      </c>
      <c r="AG159" s="101">
        <f>IF('Simulador CH BX+'!$D$17="Valor Destructible",IF(M159&gt;$F$8,0,$F$20),IF(M159&gt;$F$8,0,MAX(AA159,$F$10)*$F$19))</f>
        <v>0</v>
      </c>
      <c r="AH159" s="101">
        <f t="shared" si="68"/>
        <v>299</v>
      </c>
      <c r="AI159" s="101">
        <f t="shared" si="69"/>
        <v>299</v>
      </c>
      <c r="AJ159" s="361">
        <f t="shared" si="70"/>
        <v>299</v>
      </c>
    </row>
    <row r="160" spans="1:36" s="2" customFormat="1" ht="13.5" customHeight="1" x14ac:dyDescent="0.25">
      <c r="A160" s="10"/>
      <c r="B160" s="10"/>
      <c r="C160" s="10"/>
      <c r="D160" s="18"/>
      <c r="E160" s="10"/>
      <c r="F160" s="10"/>
      <c r="G160" s="10"/>
      <c r="H160" s="10"/>
      <c r="I160" s="10"/>
      <c r="J160" s="10"/>
      <c r="K160" s="10"/>
      <c r="L160" s="11"/>
      <c r="M160" s="98">
        <v>155</v>
      </c>
      <c r="N160" s="99">
        <f t="shared" si="73"/>
        <v>9.6500000000000002E-2</v>
      </c>
      <c r="O160" s="100">
        <f t="shared" si="63"/>
        <v>0</v>
      </c>
      <c r="P160" s="101">
        <f t="shared" si="57"/>
        <v>0</v>
      </c>
      <c r="Q160" s="101">
        <f t="shared" si="58"/>
        <v>0</v>
      </c>
      <c r="R160" s="101">
        <f t="shared" si="59"/>
        <v>0</v>
      </c>
      <c r="S160" s="101">
        <f t="shared" si="64"/>
        <v>0</v>
      </c>
      <c r="T160" s="101"/>
      <c r="U160" s="101">
        <f>IF('Simulador CH BX+'!$D$18="Monto de crédito",$F$11*$F$15,O160*$F$15)</f>
        <v>0</v>
      </c>
      <c r="V160" s="101">
        <f>IF('Simulador CH BX+'!$D$17="Valor Destructible",IF(O160-$F$18&lt;0,0,$F$18),IF(M160&gt;$F$8,0,MAX(O160,$F$10)*$F$17))</f>
        <v>0</v>
      </c>
      <c r="W160" s="101">
        <f t="shared" si="60"/>
        <v>0</v>
      </c>
      <c r="X160" s="101">
        <f t="shared" si="61"/>
        <v>0</v>
      </c>
      <c r="Y160" s="102">
        <f>'Simulador CH BX+'!M193</f>
        <v>0</v>
      </c>
      <c r="Z160" s="10"/>
      <c r="AA160" s="149">
        <f t="shared" si="71"/>
        <v>0</v>
      </c>
      <c r="AB160" s="101">
        <f t="shared" si="62"/>
        <v>0</v>
      </c>
      <c r="AC160" s="101">
        <f t="shared" si="65"/>
        <v>0</v>
      </c>
      <c r="AD160" s="101">
        <f t="shared" si="66"/>
        <v>0</v>
      </c>
      <c r="AE160" s="101">
        <f t="shared" si="67"/>
        <v>0</v>
      </c>
      <c r="AF160" s="101">
        <f>IF('Simulador CH BX+'!$D$18="Monto de crédito",$F$11*$F$15,AA160*$F$15)</f>
        <v>0</v>
      </c>
      <c r="AG160" s="101">
        <f>IF('Simulador CH BX+'!$D$17="Valor Destructible",IF(M160&gt;$F$8,0,$F$20),IF(M160&gt;$F$8,0,MAX(AA160,$F$10)*$F$19))</f>
        <v>0</v>
      </c>
      <c r="AH160" s="101">
        <f t="shared" si="68"/>
        <v>299</v>
      </c>
      <c r="AI160" s="101">
        <f t="shared" si="69"/>
        <v>299</v>
      </c>
      <c r="AJ160" s="361">
        <f t="shared" si="70"/>
        <v>299</v>
      </c>
    </row>
    <row r="161" spans="1:36" s="2" customFormat="1" ht="13.5" customHeight="1" x14ac:dyDescent="0.25">
      <c r="A161" s="10"/>
      <c r="B161" s="10"/>
      <c r="C161" s="10"/>
      <c r="D161" s="18"/>
      <c r="E161" s="10"/>
      <c r="F161" s="10"/>
      <c r="G161" s="10"/>
      <c r="H161" s="10"/>
      <c r="I161" s="10"/>
      <c r="J161" s="10"/>
      <c r="K161" s="10"/>
      <c r="L161" s="11"/>
      <c r="M161" s="103">
        <v>156</v>
      </c>
      <c r="N161" s="104">
        <f t="shared" si="73"/>
        <v>9.6500000000000002E-2</v>
      </c>
      <c r="O161" s="105">
        <f t="shared" si="63"/>
        <v>0</v>
      </c>
      <c r="P161" s="106">
        <f t="shared" si="57"/>
        <v>0</v>
      </c>
      <c r="Q161" s="106">
        <f t="shared" si="58"/>
        <v>0</v>
      </c>
      <c r="R161" s="106">
        <f t="shared" si="59"/>
        <v>0</v>
      </c>
      <c r="S161" s="106">
        <f t="shared" si="64"/>
        <v>0</v>
      </c>
      <c r="T161" s="106">
        <f>$F$24</f>
        <v>0</v>
      </c>
      <c r="U161" s="106">
        <f>IF('Simulador CH BX+'!$D$18="Monto de crédito",$F$11*$F$15,O161*$F$15)</f>
        <v>0</v>
      </c>
      <c r="V161" s="106">
        <f>IF('Simulador CH BX+'!$D$17="Valor Destructible",IF(O161-$F$18&lt;0,0,$F$18),IF(M161&gt;$F$8,0,MAX(O161,$F$10)*$F$17))</f>
        <v>0</v>
      </c>
      <c r="W161" s="106">
        <f t="shared" si="60"/>
        <v>0</v>
      </c>
      <c r="X161" s="106">
        <f t="shared" si="61"/>
        <v>0</v>
      </c>
      <c r="Y161" s="107">
        <f>'Simulador CH BX+'!M194</f>
        <v>0</v>
      </c>
      <c r="Z161" s="10"/>
      <c r="AA161" s="150">
        <f t="shared" si="71"/>
        <v>0</v>
      </c>
      <c r="AB161" s="106">
        <f t="shared" si="62"/>
        <v>0</v>
      </c>
      <c r="AC161" s="106">
        <f t="shared" si="65"/>
        <v>0</v>
      </c>
      <c r="AD161" s="106">
        <f t="shared" si="66"/>
        <v>0</v>
      </c>
      <c r="AE161" s="106">
        <f t="shared" si="67"/>
        <v>0</v>
      </c>
      <c r="AF161" s="106">
        <f>IF('Simulador CH BX+'!$D$18="Monto de crédito",$F$11*$F$15,AA161*$F$15)</f>
        <v>0</v>
      </c>
      <c r="AG161" s="106">
        <f>IF('Simulador CH BX+'!$D$17="Valor Destructible",IF(M161&gt;$F$8,0,$F$20),IF(M161&gt;$F$8,0,MAX(AA161,$F$10)*$F$19))</f>
        <v>0</v>
      </c>
      <c r="AH161" s="106">
        <f t="shared" si="68"/>
        <v>299</v>
      </c>
      <c r="AI161" s="106">
        <f t="shared" si="69"/>
        <v>299</v>
      </c>
      <c r="AJ161" s="362">
        <f t="shared" si="70"/>
        <v>299</v>
      </c>
    </row>
    <row r="162" spans="1:36" s="2" customFormat="1" ht="13.5" customHeight="1" x14ac:dyDescent="0.25">
      <c r="A162" s="10"/>
      <c r="B162" s="10"/>
      <c r="C162" s="10"/>
      <c r="D162" s="18"/>
      <c r="E162" s="10"/>
      <c r="F162" s="10"/>
      <c r="G162" s="10"/>
      <c r="H162" s="10"/>
      <c r="I162" s="10"/>
      <c r="J162" s="10"/>
      <c r="K162" s="10"/>
      <c r="L162" s="11"/>
      <c r="M162" s="98">
        <v>157</v>
      </c>
      <c r="N162" s="99">
        <f t="shared" ref="N162:N173" si="74">C$32</f>
        <v>9.6500000000000002E-2</v>
      </c>
      <c r="O162" s="100">
        <f t="shared" si="63"/>
        <v>0</v>
      </c>
      <c r="P162" s="101">
        <f t="shared" si="57"/>
        <v>0</v>
      </c>
      <c r="Q162" s="101">
        <f t="shared" si="58"/>
        <v>0</v>
      </c>
      <c r="R162" s="101">
        <f t="shared" si="59"/>
        <v>0</v>
      </c>
      <c r="S162" s="101">
        <f t="shared" si="64"/>
        <v>0</v>
      </c>
      <c r="T162" s="101"/>
      <c r="U162" s="101">
        <f>IF('Simulador CH BX+'!$D$18="Monto de crédito",$F$11*$F$15,O162*$F$15)</f>
        <v>0</v>
      </c>
      <c r="V162" s="101">
        <f>IF('Simulador CH BX+'!$D$17="Valor Destructible",IF(O162-$F$18&lt;0,0,$F$18),IF(M162&gt;$F$8,0,MAX(O162,$F$10)*$F$17))</f>
        <v>0</v>
      </c>
      <c r="W162" s="101">
        <f t="shared" si="60"/>
        <v>0</v>
      </c>
      <c r="X162" s="101">
        <f t="shared" si="61"/>
        <v>0</v>
      </c>
      <c r="Y162" s="102">
        <f>'Simulador CH BX+'!M195</f>
        <v>0</v>
      </c>
      <c r="Z162" s="10"/>
      <c r="AA162" s="149">
        <f t="shared" si="71"/>
        <v>0</v>
      </c>
      <c r="AB162" s="101">
        <f t="shared" si="62"/>
        <v>0</v>
      </c>
      <c r="AC162" s="101">
        <f t="shared" si="65"/>
        <v>0</v>
      </c>
      <c r="AD162" s="101">
        <f t="shared" si="66"/>
        <v>0</v>
      </c>
      <c r="AE162" s="101">
        <f t="shared" si="67"/>
        <v>0</v>
      </c>
      <c r="AF162" s="101">
        <f>IF('Simulador CH BX+'!$D$18="Monto de crédito",$F$11*$F$15,AA162*$F$15)</f>
        <v>0</v>
      </c>
      <c r="AG162" s="101">
        <f>IF('Simulador CH BX+'!$D$17="Valor Destructible",IF(M162&gt;$F$8,0,$F$20),IF(M162&gt;$F$8,0,MAX(AA162,$F$10)*$F$19))</f>
        <v>0</v>
      </c>
      <c r="AH162" s="101">
        <f t="shared" si="68"/>
        <v>299</v>
      </c>
      <c r="AI162" s="101">
        <f t="shared" si="69"/>
        <v>299</v>
      </c>
      <c r="AJ162" s="361">
        <f t="shared" si="70"/>
        <v>299</v>
      </c>
    </row>
    <row r="163" spans="1:36" s="2" customFormat="1" ht="13.5" customHeight="1" x14ac:dyDescent="0.25">
      <c r="A163" s="10"/>
      <c r="B163" s="10"/>
      <c r="C163" s="10"/>
      <c r="D163" s="18"/>
      <c r="E163" s="10"/>
      <c r="F163" s="10"/>
      <c r="G163" s="10"/>
      <c r="H163" s="10"/>
      <c r="I163" s="10"/>
      <c r="J163" s="10"/>
      <c r="K163" s="10"/>
      <c r="L163" s="11"/>
      <c r="M163" s="98">
        <v>158</v>
      </c>
      <c r="N163" s="99">
        <f t="shared" si="74"/>
        <v>9.6500000000000002E-2</v>
      </c>
      <c r="O163" s="100">
        <f t="shared" si="63"/>
        <v>0</v>
      </c>
      <c r="P163" s="101">
        <f t="shared" si="57"/>
        <v>0</v>
      </c>
      <c r="Q163" s="101">
        <f t="shared" si="58"/>
        <v>0</v>
      </c>
      <c r="R163" s="101">
        <f t="shared" si="59"/>
        <v>0</v>
      </c>
      <c r="S163" s="101">
        <f t="shared" si="64"/>
        <v>0</v>
      </c>
      <c r="T163" s="101"/>
      <c r="U163" s="101">
        <f>IF('Simulador CH BX+'!$D$18="Monto de crédito",$F$11*$F$15,O163*$F$15)</f>
        <v>0</v>
      </c>
      <c r="V163" s="101">
        <f>IF('Simulador CH BX+'!$D$17="Valor Destructible",IF(O163-$F$18&lt;0,0,$F$18),IF(M163&gt;$F$8,0,MAX(O163,$F$10)*$F$17))</f>
        <v>0</v>
      </c>
      <c r="W163" s="101">
        <f t="shared" si="60"/>
        <v>0</v>
      </c>
      <c r="X163" s="101">
        <f t="shared" si="61"/>
        <v>0</v>
      </c>
      <c r="Y163" s="102">
        <f>'Simulador CH BX+'!M196</f>
        <v>0</v>
      </c>
      <c r="Z163" s="10"/>
      <c r="AA163" s="149">
        <f t="shared" si="71"/>
        <v>0</v>
      </c>
      <c r="AB163" s="101">
        <f t="shared" si="62"/>
        <v>0</v>
      </c>
      <c r="AC163" s="101">
        <f t="shared" si="65"/>
        <v>0</v>
      </c>
      <c r="AD163" s="101">
        <f t="shared" si="66"/>
        <v>0</v>
      </c>
      <c r="AE163" s="101">
        <f t="shared" si="67"/>
        <v>0</v>
      </c>
      <c r="AF163" s="101">
        <f>IF('Simulador CH BX+'!$D$18="Monto de crédito",$F$11*$F$15,AA163*$F$15)</f>
        <v>0</v>
      </c>
      <c r="AG163" s="101">
        <f>IF('Simulador CH BX+'!$D$17="Valor Destructible",IF(M163&gt;$F$8,0,$F$20),IF(M163&gt;$F$8,0,MAX(AA163,$F$10)*$F$19))</f>
        <v>0</v>
      </c>
      <c r="AH163" s="101">
        <f t="shared" si="68"/>
        <v>299</v>
      </c>
      <c r="AI163" s="101">
        <f t="shared" si="69"/>
        <v>299</v>
      </c>
      <c r="AJ163" s="361">
        <f t="shared" si="70"/>
        <v>299</v>
      </c>
    </row>
    <row r="164" spans="1:36" s="2" customFormat="1" ht="13.5" customHeight="1" x14ac:dyDescent="0.25">
      <c r="A164" s="10"/>
      <c r="B164" s="10"/>
      <c r="C164" s="10"/>
      <c r="D164" s="18"/>
      <c r="E164" s="10"/>
      <c r="F164" s="10"/>
      <c r="G164" s="10"/>
      <c r="H164" s="10"/>
      <c r="I164" s="10"/>
      <c r="J164" s="10"/>
      <c r="K164" s="10"/>
      <c r="L164" s="11"/>
      <c r="M164" s="98">
        <v>159</v>
      </c>
      <c r="N164" s="99">
        <f t="shared" si="74"/>
        <v>9.6500000000000002E-2</v>
      </c>
      <c r="O164" s="100">
        <f t="shared" si="63"/>
        <v>0</v>
      </c>
      <c r="P164" s="101">
        <f t="shared" si="57"/>
        <v>0</v>
      </c>
      <c r="Q164" s="101">
        <f t="shared" si="58"/>
        <v>0</v>
      </c>
      <c r="R164" s="101">
        <f t="shared" si="59"/>
        <v>0</v>
      </c>
      <c r="S164" s="101">
        <f t="shared" si="64"/>
        <v>0</v>
      </c>
      <c r="T164" s="101"/>
      <c r="U164" s="101">
        <f>IF('Simulador CH BX+'!$D$18="Monto de crédito",$F$11*$F$15,O164*$F$15)</f>
        <v>0</v>
      </c>
      <c r="V164" s="101">
        <f>IF('Simulador CH BX+'!$D$17="Valor Destructible",IF(O164-$F$18&lt;0,0,$F$18),IF(M164&gt;$F$8,0,MAX(O164,$F$10)*$F$17))</f>
        <v>0</v>
      </c>
      <c r="W164" s="101">
        <f t="shared" si="60"/>
        <v>0</v>
      </c>
      <c r="X164" s="101">
        <f t="shared" si="61"/>
        <v>0</v>
      </c>
      <c r="Y164" s="102">
        <f>'Simulador CH BX+'!M197</f>
        <v>0</v>
      </c>
      <c r="Z164" s="10"/>
      <c r="AA164" s="149">
        <f t="shared" si="71"/>
        <v>0</v>
      </c>
      <c r="AB164" s="101">
        <f t="shared" si="62"/>
        <v>0</v>
      </c>
      <c r="AC164" s="101">
        <f t="shared" si="65"/>
        <v>0</v>
      </c>
      <c r="AD164" s="101">
        <f t="shared" si="66"/>
        <v>0</v>
      </c>
      <c r="AE164" s="101">
        <f t="shared" si="67"/>
        <v>0</v>
      </c>
      <c r="AF164" s="101">
        <f>IF('Simulador CH BX+'!$D$18="Monto de crédito",$F$11*$F$15,AA164*$F$15)</f>
        <v>0</v>
      </c>
      <c r="AG164" s="101">
        <f>IF('Simulador CH BX+'!$D$17="Valor Destructible",IF(M164&gt;$F$8,0,$F$20),IF(M164&gt;$F$8,0,MAX(AA164,$F$10)*$F$19))</f>
        <v>0</v>
      </c>
      <c r="AH164" s="101">
        <f t="shared" si="68"/>
        <v>299</v>
      </c>
      <c r="AI164" s="101">
        <f t="shared" si="69"/>
        <v>299</v>
      </c>
      <c r="AJ164" s="361">
        <f t="shared" si="70"/>
        <v>299</v>
      </c>
    </row>
    <row r="165" spans="1:36" s="2" customFormat="1" ht="13.5" customHeight="1" x14ac:dyDescent="0.25">
      <c r="A165" s="10"/>
      <c r="B165" s="10"/>
      <c r="C165" s="10"/>
      <c r="D165" s="18"/>
      <c r="E165" s="10"/>
      <c r="F165" s="10"/>
      <c r="G165" s="10"/>
      <c r="H165" s="10"/>
      <c r="I165" s="10"/>
      <c r="J165" s="10"/>
      <c r="K165" s="10"/>
      <c r="L165" s="11"/>
      <c r="M165" s="98">
        <v>160</v>
      </c>
      <c r="N165" s="99">
        <f t="shared" si="74"/>
        <v>9.6500000000000002E-2</v>
      </c>
      <c r="O165" s="100">
        <f t="shared" si="63"/>
        <v>0</v>
      </c>
      <c r="P165" s="101">
        <f t="shared" si="57"/>
        <v>0</v>
      </c>
      <c r="Q165" s="101">
        <f t="shared" si="58"/>
        <v>0</v>
      </c>
      <c r="R165" s="101">
        <f t="shared" si="59"/>
        <v>0</v>
      </c>
      <c r="S165" s="101">
        <f t="shared" si="64"/>
        <v>0</v>
      </c>
      <c r="T165" s="101"/>
      <c r="U165" s="101">
        <f>IF('Simulador CH BX+'!$D$18="Monto de crédito",$F$11*$F$15,O165*$F$15)</f>
        <v>0</v>
      </c>
      <c r="V165" s="101">
        <f>IF('Simulador CH BX+'!$D$17="Valor Destructible",IF(O165-$F$18&lt;0,0,$F$18),IF(M165&gt;$F$8,0,MAX(O165,$F$10)*$F$17))</f>
        <v>0</v>
      </c>
      <c r="W165" s="101">
        <f t="shared" si="60"/>
        <v>0</v>
      </c>
      <c r="X165" s="101">
        <f t="shared" si="61"/>
        <v>0</v>
      </c>
      <c r="Y165" s="102">
        <f>'Simulador CH BX+'!M198</f>
        <v>0</v>
      </c>
      <c r="Z165" s="10"/>
      <c r="AA165" s="149">
        <f t="shared" si="71"/>
        <v>0</v>
      </c>
      <c r="AB165" s="101">
        <f t="shared" si="62"/>
        <v>0</v>
      </c>
      <c r="AC165" s="101">
        <f t="shared" si="65"/>
        <v>0</v>
      </c>
      <c r="AD165" s="101">
        <f t="shared" si="66"/>
        <v>0</v>
      </c>
      <c r="AE165" s="101">
        <f t="shared" si="67"/>
        <v>0</v>
      </c>
      <c r="AF165" s="101">
        <f>IF('Simulador CH BX+'!$D$18="Monto de crédito",$F$11*$F$15,AA165*$F$15)</f>
        <v>0</v>
      </c>
      <c r="AG165" s="101">
        <f>IF('Simulador CH BX+'!$D$17="Valor Destructible",IF(M165&gt;$F$8,0,$F$20),IF(M165&gt;$F$8,0,MAX(AA165,$F$10)*$F$19))</f>
        <v>0</v>
      </c>
      <c r="AH165" s="101">
        <f t="shared" si="68"/>
        <v>299</v>
      </c>
      <c r="AI165" s="101">
        <f t="shared" si="69"/>
        <v>299</v>
      </c>
      <c r="AJ165" s="361">
        <f t="shared" si="70"/>
        <v>299</v>
      </c>
    </row>
    <row r="166" spans="1:36" s="2" customFormat="1" ht="13.5" customHeight="1" x14ac:dyDescent="0.25">
      <c r="A166" s="10"/>
      <c r="B166" s="10"/>
      <c r="C166" s="10"/>
      <c r="D166" s="18"/>
      <c r="E166" s="10"/>
      <c r="F166" s="10"/>
      <c r="G166" s="10"/>
      <c r="H166" s="10"/>
      <c r="I166" s="10"/>
      <c r="J166" s="10"/>
      <c r="K166" s="10"/>
      <c r="L166" s="11"/>
      <c r="M166" s="98">
        <v>161</v>
      </c>
      <c r="N166" s="99">
        <f t="shared" si="74"/>
        <v>9.6500000000000002E-2</v>
      </c>
      <c r="O166" s="100">
        <f t="shared" si="63"/>
        <v>0</v>
      </c>
      <c r="P166" s="101">
        <f t="shared" ref="P166:P185" si="75">O166*(N166/12)</f>
        <v>0</v>
      </c>
      <c r="Q166" s="101">
        <f t="shared" ref="Q166:Q185" si="76">IF(R166-P166&lt;0,O166,R166-P166)</f>
        <v>0</v>
      </c>
      <c r="R166" s="101">
        <f t="shared" ref="R166:R184" si="77">IF(O166-F$14&lt;0,0,F$14)</f>
        <v>0</v>
      </c>
      <c r="S166" s="101">
        <f t="shared" si="64"/>
        <v>0</v>
      </c>
      <c r="T166" s="101"/>
      <c r="U166" s="101">
        <f>IF('Simulador CH BX+'!$D$18="Monto de crédito",$F$11*$F$15,O166*$F$15)</f>
        <v>0</v>
      </c>
      <c r="V166" s="101">
        <f>IF('Simulador CH BX+'!$D$17="Valor Destructible",IF(O166-$F$18&lt;0,0,$F$18),IF(M166&gt;$F$8,0,MAX(O166,$F$10)*$F$17))</f>
        <v>0</v>
      </c>
      <c r="W166" s="101">
        <f t="shared" ref="W166:W185" si="78">IF(O166-F$22&lt;0,0,F$22)</f>
        <v>0</v>
      </c>
      <c r="X166" s="101">
        <f t="shared" ref="X166:X185" si="79">P166+Q166+U166+V166+W166</f>
        <v>0</v>
      </c>
      <c r="Y166" s="102">
        <f>'Simulador CH BX+'!M199</f>
        <v>0</v>
      </c>
      <c r="Z166" s="10"/>
      <c r="AA166" s="149">
        <f t="shared" si="71"/>
        <v>0</v>
      </c>
      <c r="AB166" s="101">
        <f t="shared" ref="AB166:AB186" si="80">AA166*(N166/12)</f>
        <v>0</v>
      </c>
      <c r="AC166" s="101">
        <f t="shared" si="65"/>
        <v>0</v>
      </c>
      <c r="AD166" s="101">
        <f t="shared" si="66"/>
        <v>0</v>
      </c>
      <c r="AE166" s="101">
        <f t="shared" si="67"/>
        <v>0</v>
      </c>
      <c r="AF166" s="101">
        <f>IF('Simulador CH BX+'!$D$18="Monto de crédito",$F$11*$F$15,AA166*$F$15)</f>
        <v>0</v>
      </c>
      <c r="AG166" s="101">
        <f>IF('Simulador CH BX+'!$D$17="Valor Destructible",IF(M166&gt;$F$8,0,$F$20),IF(M166&gt;$F$8,0,MAX(AA166,$F$10)*$F$19))</f>
        <v>0</v>
      </c>
      <c r="AH166" s="101">
        <f t="shared" si="68"/>
        <v>299</v>
      </c>
      <c r="AI166" s="101">
        <f t="shared" si="69"/>
        <v>299</v>
      </c>
      <c r="AJ166" s="361">
        <f t="shared" si="70"/>
        <v>299</v>
      </c>
    </row>
    <row r="167" spans="1:36" s="2" customFormat="1" ht="13.5" customHeight="1" x14ac:dyDescent="0.25">
      <c r="A167" s="10"/>
      <c r="B167" s="10"/>
      <c r="C167" s="10"/>
      <c r="D167" s="18"/>
      <c r="E167" s="10"/>
      <c r="F167" s="10"/>
      <c r="G167" s="10"/>
      <c r="H167" s="10"/>
      <c r="I167" s="10"/>
      <c r="J167" s="10"/>
      <c r="K167" s="10"/>
      <c r="L167" s="11"/>
      <c r="M167" s="98">
        <v>162</v>
      </c>
      <c r="N167" s="99">
        <f t="shared" si="74"/>
        <v>9.6500000000000002E-2</v>
      </c>
      <c r="O167" s="100">
        <f t="shared" ref="O167:O183" si="81">(O166-Q166)-Y166</f>
        <v>0</v>
      </c>
      <c r="P167" s="101">
        <f t="shared" si="75"/>
        <v>0</v>
      </c>
      <c r="Q167" s="101">
        <f t="shared" si="76"/>
        <v>0</v>
      </c>
      <c r="R167" s="101">
        <f t="shared" si="77"/>
        <v>0</v>
      </c>
      <c r="S167" s="101">
        <f t="shared" si="64"/>
        <v>0</v>
      </c>
      <c r="T167" s="101"/>
      <c r="U167" s="101">
        <f>IF('Simulador CH BX+'!$D$18="Monto de crédito",$F$11*$F$15,O167*$F$15)</f>
        <v>0</v>
      </c>
      <c r="V167" s="101">
        <f>IF('Simulador CH BX+'!$D$17="Valor Destructible",IF(O167-$F$18&lt;0,0,$F$18),IF(M167&gt;$F$8,0,MAX(O167,$F$10)*$F$17))</f>
        <v>0</v>
      </c>
      <c r="W167" s="101">
        <f t="shared" si="78"/>
        <v>0</v>
      </c>
      <c r="X167" s="101">
        <f t="shared" si="79"/>
        <v>0</v>
      </c>
      <c r="Y167" s="102">
        <f>'Simulador CH BX+'!M200</f>
        <v>0</v>
      </c>
      <c r="Z167" s="10"/>
      <c r="AA167" s="149">
        <f t="shared" si="71"/>
        <v>0</v>
      </c>
      <c r="AB167" s="101">
        <f t="shared" si="80"/>
        <v>0</v>
      </c>
      <c r="AC167" s="101">
        <f t="shared" si="65"/>
        <v>0</v>
      </c>
      <c r="AD167" s="101">
        <f t="shared" si="66"/>
        <v>0</v>
      </c>
      <c r="AE167" s="101">
        <f t="shared" si="67"/>
        <v>0</v>
      </c>
      <c r="AF167" s="101">
        <f>IF('Simulador CH BX+'!$D$18="Monto de crédito",$F$11*$F$15,AA167*$F$15)</f>
        <v>0</v>
      </c>
      <c r="AG167" s="101">
        <f>IF('Simulador CH BX+'!$D$17="Valor Destructible",IF(M167&gt;$F$8,0,$F$20),IF(M167&gt;$F$8,0,MAX(AA167,$F$10)*$F$19))</f>
        <v>0</v>
      </c>
      <c r="AH167" s="101">
        <f t="shared" si="68"/>
        <v>299</v>
      </c>
      <c r="AI167" s="101">
        <f t="shared" si="69"/>
        <v>299</v>
      </c>
      <c r="AJ167" s="361">
        <f t="shared" si="70"/>
        <v>299</v>
      </c>
    </row>
    <row r="168" spans="1:36" s="2" customFormat="1" ht="13.5" customHeight="1" x14ac:dyDescent="0.25">
      <c r="A168" s="10"/>
      <c r="B168" s="10"/>
      <c r="C168" s="10"/>
      <c r="D168" s="18"/>
      <c r="E168" s="10"/>
      <c r="F168" s="10"/>
      <c r="G168" s="10"/>
      <c r="H168" s="10"/>
      <c r="I168" s="10"/>
      <c r="J168" s="10"/>
      <c r="K168" s="10"/>
      <c r="L168" s="11"/>
      <c r="M168" s="98">
        <v>163</v>
      </c>
      <c r="N168" s="99">
        <f t="shared" si="74"/>
        <v>9.6500000000000002E-2</v>
      </c>
      <c r="O168" s="100">
        <f t="shared" si="81"/>
        <v>0</v>
      </c>
      <c r="P168" s="101">
        <f t="shared" si="75"/>
        <v>0</v>
      </c>
      <c r="Q168" s="101">
        <f t="shared" si="76"/>
        <v>0</v>
      </c>
      <c r="R168" s="101">
        <f t="shared" si="77"/>
        <v>0</v>
      </c>
      <c r="S168" s="101">
        <f t="shared" si="64"/>
        <v>0</v>
      </c>
      <c r="T168" s="101"/>
      <c r="U168" s="101">
        <f>IF('Simulador CH BX+'!$D$18="Monto de crédito",$F$11*$F$15,O168*$F$15)</f>
        <v>0</v>
      </c>
      <c r="V168" s="101">
        <f>IF('Simulador CH BX+'!$D$17="Valor Destructible",IF(O168-$F$18&lt;0,0,$F$18),IF(M168&gt;$F$8,0,MAX(O168,$F$10)*$F$17))</f>
        <v>0</v>
      </c>
      <c r="W168" s="101">
        <f t="shared" si="78"/>
        <v>0</v>
      </c>
      <c r="X168" s="101">
        <f t="shared" si="79"/>
        <v>0</v>
      </c>
      <c r="Y168" s="102">
        <f>'Simulador CH BX+'!M201</f>
        <v>0</v>
      </c>
      <c r="Z168" s="10"/>
      <c r="AA168" s="149">
        <f t="shared" si="71"/>
        <v>0</v>
      </c>
      <c r="AB168" s="101">
        <f t="shared" si="80"/>
        <v>0</v>
      </c>
      <c r="AC168" s="101">
        <f t="shared" si="65"/>
        <v>0</v>
      </c>
      <c r="AD168" s="101">
        <f t="shared" si="66"/>
        <v>0</v>
      </c>
      <c r="AE168" s="101">
        <f t="shared" si="67"/>
        <v>0</v>
      </c>
      <c r="AF168" s="101">
        <f>IF('Simulador CH BX+'!$D$18="Monto de crédito",$F$11*$F$15,AA168*$F$15)</f>
        <v>0</v>
      </c>
      <c r="AG168" s="101">
        <f>IF('Simulador CH BX+'!$D$17="Valor Destructible",IF(M168&gt;$F$8,0,$F$20),IF(M168&gt;$F$8,0,MAX(AA168,$F$10)*$F$19))</f>
        <v>0</v>
      </c>
      <c r="AH168" s="101">
        <f t="shared" si="68"/>
        <v>299</v>
      </c>
      <c r="AI168" s="101">
        <f t="shared" si="69"/>
        <v>299</v>
      </c>
      <c r="AJ168" s="361">
        <f t="shared" si="70"/>
        <v>299</v>
      </c>
    </row>
    <row r="169" spans="1:36" s="2" customFormat="1" ht="13.5" customHeight="1" x14ac:dyDescent="0.25">
      <c r="A169" s="10"/>
      <c r="B169" s="10"/>
      <c r="C169" s="10"/>
      <c r="D169" s="18"/>
      <c r="E169" s="10"/>
      <c r="F169" s="10"/>
      <c r="G169" s="10"/>
      <c r="H169" s="10"/>
      <c r="I169" s="10"/>
      <c r="J169" s="10"/>
      <c r="K169" s="10"/>
      <c r="L169" s="11"/>
      <c r="M169" s="98">
        <v>164</v>
      </c>
      <c r="N169" s="99">
        <f t="shared" si="74"/>
        <v>9.6500000000000002E-2</v>
      </c>
      <c r="O169" s="100">
        <f t="shared" si="81"/>
        <v>0</v>
      </c>
      <c r="P169" s="101">
        <f t="shared" si="75"/>
        <v>0</v>
      </c>
      <c r="Q169" s="101">
        <f t="shared" si="76"/>
        <v>0</v>
      </c>
      <c r="R169" s="101">
        <f t="shared" si="77"/>
        <v>0</v>
      </c>
      <c r="S169" s="101">
        <f t="shared" si="64"/>
        <v>0</v>
      </c>
      <c r="T169" s="101"/>
      <c r="U169" s="101">
        <f>IF('Simulador CH BX+'!$D$18="Monto de crédito",$F$11*$F$15,O169*$F$15)</f>
        <v>0</v>
      </c>
      <c r="V169" s="101">
        <f>IF('Simulador CH BX+'!$D$17="Valor Destructible",IF(O169-$F$18&lt;0,0,$F$18),IF(M169&gt;$F$8,0,MAX(O169,$F$10)*$F$17))</f>
        <v>0</v>
      </c>
      <c r="W169" s="101">
        <f t="shared" si="78"/>
        <v>0</v>
      </c>
      <c r="X169" s="101">
        <f t="shared" si="79"/>
        <v>0</v>
      </c>
      <c r="Y169" s="102">
        <f>'Simulador CH BX+'!M202</f>
        <v>0</v>
      </c>
      <c r="Z169" s="10"/>
      <c r="AA169" s="149">
        <f t="shared" si="71"/>
        <v>0</v>
      </c>
      <c r="AB169" s="101">
        <f t="shared" si="80"/>
        <v>0</v>
      </c>
      <c r="AC169" s="101">
        <f t="shared" si="65"/>
        <v>0</v>
      </c>
      <c r="AD169" s="101">
        <f t="shared" si="66"/>
        <v>0</v>
      </c>
      <c r="AE169" s="101">
        <f t="shared" si="67"/>
        <v>0</v>
      </c>
      <c r="AF169" s="101">
        <f>IF('Simulador CH BX+'!$D$18="Monto de crédito",$F$11*$F$15,AA169*$F$15)</f>
        <v>0</v>
      </c>
      <c r="AG169" s="101">
        <f>IF('Simulador CH BX+'!$D$17="Valor Destructible",IF(M169&gt;$F$8,0,$F$20),IF(M169&gt;$F$8,0,MAX(AA169,$F$10)*$F$19))</f>
        <v>0</v>
      </c>
      <c r="AH169" s="101">
        <f t="shared" si="68"/>
        <v>299</v>
      </c>
      <c r="AI169" s="101">
        <f t="shared" si="69"/>
        <v>299</v>
      </c>
      <c r="AJ169" s="361">
        <f t="shared" si="70"/>
        <v>299</v>
      </c>
    </row>
    <row r="170" spans="1:36" s="2" customFormat="1" ht="13.5" customHeight="1" x14ac:dyDescent="0.25">
      <c r="A170" s="10"/>
      <c r="B170" s="10"/>
      <c r="C170" s="10"/>
      <c r="D170" s="18"/>
      <c r="E170" s="10"/>
      <c r="F170" s="10"/>
      <c r="G170" s="11"/>
      <c r="H170" s="10"/>
      <c r="I170" s="10"/>
      <c r="J170" s="10"/>
      <c r="K170" s="10"/>
      <c r="L170" s="11"/>
      <c r="M170" s="98">
        <v>165</v>
      </c>
      <c r="N170" s="99">
        <f t="shared" si="74"/>
        <v>9.6500000000000002E-2</v>
      </c>
      <c r="O170" s="100">
        <f t="shared" si="81"/>
        <v>0</v>
      </c>
      <c r="P170" s="101">
        <f t="shared" si="75"/>
        <v>0</v>
      </c>
      <c r="Q170" s="101">
        <f t="shared" si="76"/>
        <v>0</v>
      </c>
      <c r="R170" s="101">
        <f t="shared" si="77"/>
        <v>0</v>
      </c>
      <c r="S170" s="101">
        <f t="shared" si="64"/>
        <v>0</v>
      </c>
      <c r="T170" s="101"/>
      <c r="U170" s="101">
        <f>IF('Simulador CH BX+'!$D$18="Monto de crédito",$F$11*$F$15,O170*$F$15)</f>
        <v>0</v>
      </c>
      <c r="V170" s="101">
        <f>IF('Simulador CH BX+'!$D$17="Valor Destructible",IF(O170-$F$18&lt;0,0,$F$18),IF(M170&gt;$F$8,0,MAX(O170,$F$10)*$F$17))</f>
        <v>0</v>
      </c>
      <c r="W170" s="101">
        <f t="shared" si="78"/>
        <v>0</v>
      </c>
      <c r="X170" s="101">
        <f t="shared" si="79"/>
        <v>0</v>
      </c>
      <c r="Y170" s="102">
        <f>'Simulador CH BX+'!M203</f>
        <v>0</v>
      </c>
      <c r="Z170" s="10"/>
      <c r="AA170" s="149">
        <f t="shared" si="71"/>
        <v>0</v>
      </c>
      <c r="AB170" s="101">
        <f t="shared" si="80"/>
        <v>0</v>
      </c>
      <c r="AC170" s="101">
        <f t="shared" si="65"/>
        <v>0</v>
      </c>
      <c r="AD170" s="101">
        <f t="shared" si="66"/>
        <v>0</v>
      </c>
      <c r="AE170" s="101">
        <f t="shared" si="67"/>
        <v>0</v>
      </c>
      <c r="AF170" s="101">
        <f>IF('Simulador CH BX+'!$D$18="Monto de crédito",$F$11*$F$15,AA170*$F$15)</f>
        <v>0</v>
      </c>
      <c r="AG170" s="101">
        <f>IF('Simulador CH BX+'!$D$17="Valor Destructible",IF(M170&gt;$F$8,0,$F$20),IF(M170&gt;$F$8,0,MAX(AA170,$F$10)*$F$19))</f>
        <v>0</v>
      </c>
      <c r="AH170" s="101">
        <f t="shared" si="68"/>
        <v>299</v>
      </c>
      <c r="AI170" s="101">
        <f t="shared" si="69"/>
        <v>299</v>
      </c>
      <c r="AJ170" s="361">
        <f t="shared" si="70"/>
        <v>299</v>
      </c>
    </row>
    <row r="171" spans="1:36" s="2" customFormat="1" ht="13.5" customHeight="1" x14ac:dyDescent="0.25">
      <c r="A171" s="10"/>
      <c r="B171" s="10"/>
      <c r="C171" s="10"/>
      <c r="D171" s="18"/>
      <c r="E171" s="10"/>
      <c r="F171" s="10"/>
      <c r="G171" s="11"/>
      <c r="H171" s="10"/>
      <c r="I171" s="10"/>
      <c r="J171" s="10"/>
      <c r="K171" s="10"/>
      <c r="L171" s="11"/>
      <c r="M171" s="98">
        <v>166</v>
      </c>
      <c r="N171" s="99">
        <f t="shared" si="74"/>
        <v>9.6500000000000002E-2</v>
      </c>
      <c r="O171" s="100">
        <f t="shared" si="81"/>
        <v>0</v>
      </c>
      <c r="P171" s="101">
        <f t="shared" si="75"/>
        <v>0</v>
      </c>
      <c r="Q171" s="101">
        <f t="shared" si="76"/>
        <v>0</v>
      </c>
      <c r="R171" s="101">
        <f t="shared" si="77"/>
        <v>0</v>
      </c>
      <c r="S171" s="101">
        <f t="shared" si="64"/>
        <v>0</v>
      </c>
      <c r="T171" s="101"/>
      <c r="U171" s="101">
        <f>IF('Simulador CH BX+'!$D$18="Monto de crédito",$F$11*$F$15,O171*$F$15)</f>
        <v>0</v>
      </c>
      <c r="V171" s="101">
        <f>IF('Simulador CH BX+'!$D$17="Valor Destructible",IF(O171-$F$18&lt;0,0,$F$18),IF(M171&gt;$F$8,0,MAX(O171,$F$10)*$F$17))</f>
        <v>0</v>
      </c>
      <c r="W171" s="101">
        <f t="shared" si="78"/>
        <v>0</v>
      </c>
      <c r="X171" s="101">
        <f t="shared" si="79"/>
        <v>0</v>
      </c>
      <c r="Y171" s="102">
        <f>'Simulador CH BX+'!M204</f>
        <v>0</v>
      </c>
      <c r="Z171" s="10"/>
      <c r="AA171" s="149">
        <f t="shared" si="71"/>
        <v>0</v>
      </c>
      <c r="AB171" s="101">
        <f t="shared" si="80"/>
        <v>0</v>
      </c>
      <c r="AC171" s="101">
        <f t="shared" si="65"/>
        <v>0</v>
      </c>
      <c r="AD171" s="101">
        <f t="shared" si="66"/>
        <v>0</v>
      </c>
      <c r="AE171" s="101">
        <f t="shared" si="67"/>
        <v>0</v>
      </c>
      <c r="AF171" s="101">
        <f>IF('Simulador CH BX+'!$D$18="Monto de crédito",$F$11*$F$15,AA171*$F$15)</f>
        <v>0</v>
      </c>
      <c r="AG171" s="101">
        <f>IF('Simulador CH BX+'!$D$17="Valor Destructible",IF(M171&gt;$F$8,0,$F$20),IF(M171&gt;$F$8,0,MAX(AA171,$F$10)*$F$19))</f>
        <v>0</v>
      </c>
      <c r="AH171" s="101">
        <f t="shared" si="68"/>
        <v>299</v>
      </c>
      <c r="AI171" s="101">
        <f t="shared" si="69"/>
        <v>299</v>
      </c>
      <c r="AJ171" s="361">
        <f t="shared" si="70"/>
        <v>299</v>
      </c>
    </row>
    <row r="172" spans="1:36" s="2" customFormat="1" ht="13.5" customHeight="1" x14ac:dyDescent="0.25">
      <c r="A172" s="10"/>
      <c r="B172" s="10"/>
      <c r="C172" s="10"/>
      <c r="D172" s="18"/>
      <c r="E172" s="11"/>
      <c r="F172" s="11"/>
      <c r="G172" s="11"/>
      <c r="H172" s="10"/>
      <c r="I172" s="10"/>
      <c r="J172" s="10"/>
      <c r="K172" s="10"/>
      <c r="L172" s="11"/>
      <c r="M172" s="98">
        <v>167</v>
      </c>
      <c r="N172" s="99">
        <f t="shared" si="74"/>
        <v>9.6500000000000002E-2</v>
      </c>
      <c r="O172" s="100">
        <f t="shared" si="81"/>
        <v>0</v>
      </c>
      <c r="P172" s="101">
        <f t="shared" si="75"/>
        <v>0</v>
      </c>
      <c r="Q172" s="101">
        <f t="shared" si="76"/>
        <v>0</v>
      </c>
      <c r="R172" s="101">
        <f t="shared" si="77"/>
        <v>0</v>
      </c>
      <c r="S172" s="101">
        <f t="shared" si="64"/>
        <v>0</v>
      </c>
      <c r="T172" s="101"/>
      <c r="U172" s="101">
        <f>IF('Simulador CH BX+'!$D$18="Monto de crédito",$F$11*$F$15,O172*$F$15)</f>
        <v>0</v>
      </c>
      <c r="V172" s="101">
        <f>IF('Simulador CH BX+'!$D$17="Valor Destructible",IF(O172-$F$18&lt;0,0,$F$18),IF(M172&gt;$F$8,0,MAX(O172,$F$10)*$F$17))</f>
        <v>0</v>
      </c>
      <c r="W172" s="101">
        <f t="shared" si="78"/>
        <v>0</v>
      </c>
      <c r="X172" s="101">
        <f t="shared" si="79"/>
        <v>0</v>
      </c>
      <c r="Y172" s="102">
        <f>'Simulador CH BX+'!M205</f>
        <v>0</v>
      </c>
      <c r="Z172" s="10"/>
      <c r="AA172" s="149">
        <f t="shared" si="71"/>
        <v>0</v>
      </c>
      <c r="AB172" s="101">
        <f t="shared" si="80"/>
        <v>0</v>
      </c>
      <c r="AC172" s="101">
        <f t="shared" si="65"/>
        <v>0</v>
      </c>
      <c r="AD172" s="101">
        <f t="shared" si="66"/>
        <v>0</v>
      </c>
      <c r="AE172" s="101">
        <f t="shared" si="67"/>
        <v>0</v>
      </c>
      <c r="AF172" s="101">
        <f>IF('Simulador CH BX+'!$D$18="Monto de crédito",$F$11*$F$15,AA172*$F$15)</f>
        <v>0</v>
      </c>
      <c r="AG172" s="101">
        <f>IF('Simulador CH BX+'!$D$17="Valor Destructible",IF(M172&gt;$F$8,0,$F$20),IF(M172&gt;$F$8,0,MAX(AA172,$F$10)*$F$19))</f>
        <v>0</v>
      </c>
      <c r="AH172" s="101">
        <f t="shared" si="68"/>
        <v>299</v>
      </c>
      <c r="AI172" s="101">
        <f t="shared" si="69"/>
        <v>299</v>
      </c>
      <c r="AJ172" s="361">
        <f t="shared" si="70"/>
        <v>299</v>
      </c>
    </row>
    <row r="173" spans="1:36" s="2" customFormat="1" ht="13.5" customHeight="1" x14ac:dyDescent="0.25">
      <c r="A173" s="10"/>
      <c r="B173" s="10"/>
      <c r="C173" s="10"/>
      <c r="D173" s="18"/>
      <c r="E173" s="11"/>
      <c r="F173" s="11"/>
      <c r="G173" s="10"/>
      <c r="H173" s="10"/>
      <c r="I173" s="10"/>
      <c r="J173" s="10"/>
      <c r="K173" s="10"/>
      <c r="L173" s="11"/>
      <c r="M173" s="103">
        <v>168</v>
      </c>
      <c r="N173" s="104">
        <f t="shared" si="74"/>
        <v>9.6500000000000002E-2</v>
      </c>
      <c r="O173" s="105">
        <f t="shared" si="81"/>
        <v>0</v>
      </c>
      <c r="P173" s="106">
        <f t="shared" si="75"/>
        <v>0</v>
      </c>
      <c r="Q173" s="106">
        <f t="shared" si="76"/>
        <v>0</v>
      </c>
      <c r="R173" s="106">
        <f t="shared" si="77"/>
        <v>0</v>
      </c>
      <c r="S173" s="106">
        <f t="shared" si="64"/>
        <v>0</v>
      </c>
      <c r="T173" s="106">
        <v>0</v>
      </c>
      <c r="U173" s="106">
        <f>IF('Simulador CH BX+'!$D$18="Monto de crédito",$F$11*$F$15,O173*$F$15)</f>
        <v>0</v>
      </c>
      <c r="V173" s="106">
        <f>IF('Simulador CH BX+'!$D$17="Valor Destructible",IF(O173-$F$18&lt;0,0,$F$18),IF(M173&gt;$F$8,0,MAX(O173,$F$10)*$F$17))</f>
        <v>0</v>
      </c>
      <c r="W173" s="106">
        <f t="shared" si="78"/>
        <v>0</v>
      </c>
      <c r="X173" s="106">
        <f t="shared" si="79"/>
        <v>0</v>
      </c>
      <c r="Y173" s="107">
        <f>'Simulador CH BX+'!M206</f>
        <v>0</v>
      </c>
      <c r="Z173" s="10"/>
      <c r="AA173" s="150">
        <f t="shared" si="71"/>
        <v>0</v>
      </c>
      <c r="AB173" s="106">
        <f t="shared" si="80"/>
        <v>0</v>
      </c>
      <c r="AC173" s="106">
        <f t="shared" si="65"/>
        <v>0</v>
      </c>
      <c r="AD173" s="106">
        <f t="shared" si="66"/>
        <v>0</v>
      </c>
      <c r="AE173" s="106">
        <f t="shared" si="67"/>
        <v>0</v>
      </c>
      <c r="AF173" s="106">
        <f>IF('Simulador CH BX+'!$D$18="Monto de crédito",$F$11*$F$15,AA173*$F$15)</f>
        <v>0</v>
      </c>
      <c r="AG173" s="106">
        <f>IF('Simulador CH BX+'!$D$17="Valor Destructible",IF(M173&gt;$F$8,0,$F$20),IF(M173&gt;$F$8,0,MAX(AA173,$F$10)*$F$19))</f>
        <v>0</v>
      </c>
      <c r="AH173" s="106">
        <f t="shared" si="68"/>
        <v>299</v>
      </c>
      <c r="AI173" s="106">
        <f t="shared" si="69"/>
        <v>299</v>
      </c>
      <c r="AJ173" s="107">
        <f t="shared" si="70"/>
        <v>299</v>
      </c>
    </row>
    <row r="174" spans="1:36" s="2" customFormat="1" ht="13.5" customHeight="1" x14ac:dyDescent="0.25">
      <c r="A174" s="10"/>
      <c r="B174" s="10"/>
      <c r="C174" s="10"/>
      <c r="D174" s="18"/>
      <c r="E174" s="11"/>
      <c r="F174" s="11"/>
      <c r="G174" s="10"/>
      <c r="H174" s="10"/>
      <c r="I174" s="10"/>
      <c r="J174" s="10"/>
      <c r="K174" s="10"/>
      <c r="L174" s="11"/>
      <c r="M174" s="98">
        <v>169</v>
      </c>
      <c r="N174" s="99">
        <f t="shared" ref="N174:N185" si="82">C$33</f>
        <v>9.6500000000000002E-2</v>
      </c>
      <c r="O174" s="100">
        <f t="shared" si="81"/>
        <v>0</v>
      </c>
      <c r="P174" s="101">
        <f t="shared" si="75"/>
        <v>0</v>
      </c>
      <c r="Q174" s="101">
        <f t="shared" si="76"/>
        <v>0</v>
      </c>
      <c r="R174" s="101">
        <f t="shared" si="77"/>
        <v>0</v>
      </c>
      <c r="S174" s="101">
        <f t="shared" si="64"/>
        <v>0</v>
      </c>
      <c r="T174" s="101"/>
      <c r="U174" s="101">
        <f>IF('Simulador CH BX+'!$D$18="Monto de crédito",$F$11*$F$15,O174*$F$15)</f>
        <v>0</v>
      </c>
      <c r="V174" s="101">
        <f>IF('Simulador CH BX+'!$D$17="Valor Destructible",IF(O174-$F$18&lt;0,0,$F$18),IF(M174&gt;$F$8,0,MAX(O174,$F$10)*$F$17))</f>
        <v>0</v>
      </c>
      <c r="W174" s="101">
        <f t="shared" si="78"/>
        <v>0</v>
      </c>
      <c r="X174" s="101">
        <f t="shared" si="79"/>
        <v>0</v>
      </c>
      <c r="Y174" s="102">
        <f>'Simulador CH BX+'!M207</f>
        <v>0</v>
      </c>
      <c r="Z174" s="10"/>
      <c r="AA174" s="149">
        <f t="shared" si="71"/>
        <v>0</v>
      </c>
      <c r="AB174" s="101">
        <f t="shared" si="80"/>
        <v>0</v>
      </c>
      <c r="AC174" s="101">
        <f t="shared" si="65"/>
        <v>0</v>
      </c>
      <c r="AD174" s="101">
        <f t="shared" si="66"/>
        <v>0</v>
      </c>
      <c r="AE174" s="101">
        <f t="shared" si="67"/>
        <v>0</v>
      </c>
      <c r="AF174" s="101">
        <f>IF('Simulador CH BX+'!$D$18="Monto de crédito",$F$11*$F$15,AA174*$F$15)</f>
        <v>0</v>
      </c>
      <c r="AG174" s="101">
        <f>IF('Simulador CH BX+'!$D$17="Valor Destructible",IF(M174&gt;$F$8,0,$F$20),IF(M174&gt;$F$8,0,MAX(AA174,$F$10)*$F$19))</f>
        <v>0</v>
      </c>
      <c r="AH174" s="101">
        <f t="shared" si="68"/>
        <v>299</v>
      </c>
      <c r="AI174" s="101">
        <f t="shared" si="69"/>
        <v>299</v>
      </c>
      <c r="AJ174" s="361">
        <f t="shared" si="70"/>
        <v>299</v>
      </c>
    </row>
    <row r="175" spans="1:36" s="2" customFormat="1" ht="13.5" customHeight="1" x14ac:dyDescent="0.25">
      <c r="A175" s="10"/>
      <c r="B175" s="10"/>
      <c r="C175" s="10"/>
      <c r="D175" s="18"/>
      <c r="E175" s="10"/>
      <c r="F175" s="10"/>
      <c r="G175" s="10"/>
      <c r="H175" s="10"/>
      <c r="I175" s="10"/>
      <c r="J175" s="10"/>
      <c r="K175" s="10"/>
      <c r="L175" s="11"/>
      <c r="M175" s="98">
        <v>170</v>
      </c>
      <c r="N175" s="99">
        <f t="shared" si="82"/>
        <v>9.6500000000000002E-2</v>
      </c>
      <c r="O175" s="100">
        <f t="shared" si="81"/>
        <v>0</v>
      </c>
      <c r="P175" s="101">
        <f t="shared" si="75"/>
        <v>0</v>
      </c>
      <c r="Q175" s="101">
        <f t="shared" si="76"/>
        <v>0</v>
      </c>
      <c r="R175" s="101">
        <f t="shared" si="77"/>
        <v>0</v>
      </c>
      <c r="S175" s="101">
        <f t="shared" si="64"/>
        <v>0</v>
      </c>
      <c r="T175" s="101"/>
      <c r="U175" s="101">
        <f>IF('Simulador CH BX+'!$D$18="Monto de crédito",$F$11*$F$15,O175*$F$15)</f>
        <v>0</v>
      </c>
      <c r="V175" s="101">
        <f>IF('Simulador CH BX+'!$D$17="Valor Destructible",IF(O175-$F$18&lt;0,0,$F$18),IF(M175&gt;$F$8,0,MAX(O175,$F$10)*$F$17))</f>
        <v>0</v>
      </c>
      <c r="W175" s="101">
        <f t="shared" si="78"/>
        <v>0</v>
      </c>
      <c r="X175" s="101">
        <f t="shared" si="79"/>
        <v>0</v>
      </c>
      <c r="Y175" s="102">
        <f>'Simulador CH BX+'!M208</f>
        <v>0</v>
      </c>
      <c r="Z175" s="10"/>
      <c r="AA175" s="149">
        <f t="shared" si="71"/>
        <v>0</v>
      </c>
      <c r="AB175" s="101">
        <f t="shared" si="80"/>
        <v>0</v>
      </c>
      <c r="AC175" s="101">
        <f t="shared" si="65"/>
        <v>0</v>
      </c>
      <c r="AD175" s="101">
        <f t="shared" si="66"/>
        <v>0</v>
      </c>
      <c r="AE175" s="101">
        <f t="shared" si="67"/>
        <v>0</v>
      </c>
      <c r="AF175" s="101">
        <f>IF('Simulador CH BX+'!$D$18="Monto de crédito",$F$11*$F$15,AA175*$F$15)</f>
        <v>0</v>
      </c>
      <c r="AG175" s="101">
        <f>IF('Simulador CH BX+'!$D$17="Valor Destructible",IF(M175&gt;$F$8,0,$F$20),IF(M175&gt;$F$8,0,MAX(AA175,$F$10)*$F$19))</f>
        <v>0</v>
      </c>
      <c r="AH175" s="101">
        <f t="shared" si="68"/>
        <v>299</v>
      </c>
      <c r="AI175" s="101">
        <f t="shared" si="69"/>
        <v>299</v>
      </c>
      <c r="AJ175" s="361">
        <f t="shared" si="70"/>
        <v>299</v>
      </c>
    </row>
    <row r="176" spans="1:36" s="2" customFormat="1" ht="13.5" customHeight="1" x14ac:dyDescent="0.25">
      <c r="A176" s="10"/>
      <c r="B176" s="10"/>
      <c r="C176" s="10"/>
      <c r="D176" s="18"/>
      <c r="E176" s="10"/>
      <c r="F176" s="10"/>
      <c r="G176" s="10"/>
      <c r="H176" s="10"/>
      <c r="I176" s="10"/>
      <c r="J176" s="10"/>
      <c r="K176" s="10"/>
      <c r="L176" s="11"/>
      <c r="M176" s="98">
        <v>171</v>
      </c>
      <c r="N176" s="99">
        <f t="shared" si="82"/>
        <v>9.6500000000000002E-2</v>
      </c>
      <c r="O176" s="100">
        <f t="shared" si="81"/>
        <v>0</v>
      </c>
      <c r="P176" s="101">
        <f t="shared" si="75"/>
        <v>0</v>
      </c>
      <c r="Q176" s="101">
        <f t="shared" si="76"/>
        <v>0</v>
      </c>
      <c r="R176" s="101">
        <f t="shared" si="77"/>
        <v>0</v>
      </c>
      <c r="S176" s="101">
        <f t="shared" si="64"/>
        <v>0</v>
      </c>
      <c r="T176" s="101"/>
      <c r="U176" s="101">
        <f>IF('Simulador CH BX+'!$D$18="Monto de crédito",$F$11*$F$15,O176*$F$15)</f>
        <v>0</v>
      </c>
      <c r="V176" s="101">
        <f>IF('Simulador CH BX+'!$D$17="Valor Destructible",IF(O176-$F$18&lt;0,0,$F$18),IF(M176&gt;$F$8,0,MAX(O176,$F$10)*$F$17))</f>
        <v>0</v>
      </c>
      <c r="W176" s="101">
        <f t="shared" si="78"/>
        <v>0</v>
      </c>
      <c r="X176" s="101">
        <f t="shared" si="79"/>
        <v>0</v>
      </c>
      <c r="Y176" s="102">
        <f>'Simulador CH BX+'!M209</f>
        <v>0</v>
      </c>
      <c r="Z176" s="10"/>
      <c r="AA176" s="149">
        <f t="shared" si="71"/>
        <v>0</v>
      </c>
      <c r="AB176" s="101">
        <f t="shared" si="80"/>
        <v>0</v>
      </c>
      <c r="AC176" s="101">
        <f t="shared" si="65"/>
        <v>0</v>
      </c>
      <c r="AD176" s="101">
        <f t="shared" si="66"/>
        <v>0</v>
      </c>
      <c r="AE176" s="101">
        <f t="shared" si="67"/>
        <v>0</v>
      </c>
      <c r="AF176" s="101">
        <f>IF('Simulador CH BX+'!$D$18="Monto de crédito",$F$11*$F$15,AA176*$F$15)</f>
        <v>0</v>
      </c>
      <c r="AG176" s="101">
        <f>IF('Simulador CH BX+'!$D$17="Valor Destructible",IF(M176&gt;$F$8,0,$F$20),IF(M176&gt;$F$8,0,MAX(AA176,$F$10)*$F$19))</f>
        <v>0</v>
      </c>
      <c r="AH176" s="101">
        <f t="shared" si="68"/>
        <v>299</v>
      </c>
      <c r="AI176" s="101">
        <f t="shared" si="69"/>
        <v>299</v>
      </c>
      <c r="AJ176" s="361">
        <f t="shared" si="70"/>
        <v>299</v>
      </c>
    </row>
    <row r="177" spans="1:36" s="2" customFormat="1" ht="13.5" customHeight="1" x14ac:dyDescent="0.25">
      <c r="A177" s="10"/>
      <c r="B177" s="10"/>
      <c r="C177" s="10"/>
      <c r="D177" s="18"/>
      <c r="E177" s="10"/>
      <c r="F177" s="10"/>
      <c r="G177" s="10"/>
      <c r="H177" s="10"/>
      <c r="I177" s="10"/>
      <c r="J177" s="10"/>
      <c r="K177" s="10"/>
      <c r="L177" s="11"/>
      <c r="M177" s="98">
        <v>172</v>
      </c>
      <c r="N177" s="99">
        <f t="shared" si="82"/>
        <v>9.6500000000000002E-2</v>
      </c>
      <c r="O177" s="100">
        <f t="shared" si="81"/>
        <v>0</v>
      </c>
      <c r="P177" s="101">
        <f t="shared" si="75"/>
        <v>0</v>
      </c>
      <c r="Q177" s="101">
        <f t="shared" si="76"/>
        <v>0</v>
      </c>
      <c r="R177" s="101">
        <f t="shared" si="77"/>
        <v>0</v>
      </c>
      <c r="S177" s="101">
        <f t="shared" si="64"/>
        <v>0</v>
      </c>
      <c r="T177" s="101"/>
      <c r="U177" s="101">
        <f>IF('Simulador CH BX+'!$D$18="Monto de crédito",$F$11*$F$15,O177*$F$15)</f>
        <v>0</v>
      </c>
      <c r="V177" s="101">
        <f>IF('Simulador CH BX+'!$D$17="Valor Destructible",IF(O177-$F$18&lt;0,0,$F$18),IF(M177&gt;$F$8,0,MAX(O177,$F$10)*$F$17))</f>
        <v>0</v>
      </c>
      <c r="W177" s="101">
        <f t="shared" si="78"/>
        <v>0</v>
      </c>
      <c r="X177" s="101">
        <f t="shared" si="79"/>
        <v>0</v>
      </c>
      <c r="Y177" s="102">
        <f>'Simulador CH BX+'!M210</f>
        <v>0</v>
      </c>
      <c r="Z177" s="10"/>
      <c r="AA177" s="149">
        <f t="shared" si="71"/>
        <v>0</v>
      </c>
      <c r="AB177" s="101">
        <f t="shared" si="80"/>
        <v>0</v>
      </c>
      <c r="AC177" s="101">
        <f t="shared" si="65"/>
        <v>0</v>
      </c>
      <c r="AD177" s="101">
        <f t="shared" si="66"/>
        <v>0</v>
      </c>
      <c r="AE177" s="101">
        <f t="shared" si="67"/>
        <v>0</v>
      </c>
      <c r="AF177" s="101">
        <f>IF('Simulador CH BX+'!$D$18="Monto de crédito",$F$11*$F$15,AA177*$F$15)</f>
        <v>0</v>
      </c>
      <c r="AG177" s="101">
        <f>IF('Simulador CH BX+'!$D$17="Valor Destructible",IF(M177&gt;$F$8,0,$F$20),IF(M177&gt;$F$8,0,MAX(AA177,$F$10)*$F$19))</f>
        <v>0</v>
      </c>
      <c r="AH177" s="101">
        <f t="shared" si="68"/>
        <v>299</v>
      </c>
      <c r="AI177" s="101">
        <f t="shared" si="69"/>
        <v>299</v>
      </c>
      <c r="AJ177" s="361">
        <f t="shared" si="70"/>
        <v>299</v>
      </c>
    </row>
    <row r="178" spans="1:36" s="2" customFormat="1" ht="13.5" customHeight="1" x14ac:dyDescent="0.25">
      <c r="A178" s="10"/>
      <c r="B178" s="10"/>
      <c r="C178" s="10"/>
      <c r="D178" s="18"/>
      <c r="E178" s="10"/>
      <c r="F178" s="10"/>
      <c r="G178" s="10"/>
      <c r="H178" s="10"/>
      <c r="I178" s="10"/>
      <c r="J178" s="10"/>
      <c r="K178" s="10"/>
      <c r="L178" s="11"/>
      <c r="M178" s="98">
        <v>173</v>
      </c>
      <c r="N178" s="99">
        <f t="shared" si="82"/>
        <v>9.6500000000000002E-2</v>
      </c>
      <c r="O178" s="100">
        <f t="shared" si="81"/>
        <v>0</v>
      </c>
      <c r="P178" s="101">
        <f t="shared" si="75"/>
        <v>0</v>
      </c>
      <c r="Q178" s="101">
        <f t="shared" si="76"/>
        <v>0</v>
      </c>
      <c r="R178" s="101">
        <f t="shared" si="77"/>
        <v>0</v>
      </c>
      <c r="S178" s="101">
        <f t="shared" si="64"/>
        <v>0</v>
      </c>
      <c r="T178" s="101"/>
      <c r="U178" s="101">
        <f>IF('Simulador CH BX+'!$D$18="Monto de crédito",$F$11*$F$15,O178*$F$15)</f>
        <v>0</v>
      </c>
      <c r="V178" s="101">
        <f>IF('Simulador CH BX+'!$D$17="Valor Destructible",IF(O178-$F$18&lt;0,0,$F$18),IF(M178&gt;$F$8,0,MAX(O178,$F$10)*$F$17))</f>
        <v>0</v>
      </c>
      <c r="W178" s="101">
        <f t="shared" si="78"/>
        <v>0</v>
      </c>
      <c r="X178" s="101">
        <f t="shared" si="79"/>
        <v>0</v>
      </c>
      <c r="Y178" s="102">
        <f>'Simulador CH BX+'!M211</f>
        <v>0</v>
      </c>
      <c r="Z178" s="10"/>
      <c r="AA178" s="149">
        <f t="shared" si="71"/>
        <v>0</v>
      </c>
      <c r="AB178" s="101">
        <f t="shared" si="80"/>
        <v>0</v>
      </c>
      <c r="AC178" s="101">
        <f t="shared" si="65"/>
        <v>0</v>
      </c>
      <c r="AD178" s="101">
        <f t="shared" si="66"/>
        <v>0</v>
      </c>
      <c r="AE178" s="101">
        <f t="shared" si="67"/>
        <v>0</v>
      </c>
      <c r="AF178" s="101">
        <f>IF('Simulador CH BX+'!$D$18="Monto de crédito",$F$11*$F$15,AA178*$F$15)</f>
        <v>0</v>
      </c>
      <c r="AG178" s="101">
        <f>IF('Simulador CH BX+'!$D$17="Valor Destructible",IF(M178&gt;$F$8,0,$F$20),IF(M178&gt;$F$8,0,MAX(AA178,$F$10)*$F$19))</f>
        <v>0</v>
      </c>
      <c r="AH178" s="101">
        <f t="shared" si="68"/>
        <v>299</v>
      </c>
      <c r="AI178" s="101">
        <f t="shared" si="69"/>
        <v>299</v>
      </c>
      <c r="AJ178" s="361">
        <f t="shared" si="70"/>
        <v>299</v>
      </c>
    </row>
    <row r="179" spans="1:36" s="2" customFormat="1" ht="13.5" customHeight="1" x14ac:dyDescent="0.25">
      <c r="A179" s="10"/>
      <c r="B179" s="10"/>
      <c r="C179" s="10"/>
      <c r="D179" s="18"/>
      <c r="E179" s="10"/>
      <c r="F179" s="10"/>
      <c r="G179" s="10"/>
      <c r="H179" s="10"/>
      <c r="I179" s="10"/>
      <c r="J179" s="10"/>
      <c r="K179" s="10"/>
      <c r="L179" s="11"/>
      <c r="M179" s="98">
        <v>174</v>
      </c>
      <c r="N179" s="99">
        <f t="shared" si="82"/>
        <v>9.6500000000000002E-2</v>
      </c>
      <c r="O179" s="100">
        <f t="shared" si="81"/>
        <v>0</v>
      </c>
      <c r="P179" s="101">
        <f t="shared" si="75"/>
        <v>0</v>
      </c>
      <c r="Q179" s="101">
        <f t="shared" si="76"/>
        <v>0</v>
      </c>
      <c r="R179" s="101">
        <f t="shared" si="77"/>
        <v>0</v>
      </c>
      <c r="S179" s="101">
        <f t="shared" si="64"/>
        <v>0</v>
      </c>
      <c r="T179" s="101"/>
      <c r="U179" s="101">
        <f>IF('Simulador CH BX+'!$D$18="Monto de crédito",$F$11*$F$15,O179*$F$15)</f>
        <v>0</v>
      </c>
      <c r="V179" s="101">
        <f>IF('Simulador CH BX+'!$D$17="Valor Destructible",IF(O179-$F$18&lt;0,0,$F$18),IF(M179&gt;$F$8,0,MAX(O179,$F$10)*$F$17))</f>
        <v>0</v>
      </c>
      <c r="W179" s="101">
        <f t="shared" si="78"/>
        <v>0</v>
      </c>
      <c r="X179" s="101">
        <f t="shared" si="79"/>
        <v>0</v>
      </c>
      <c r="Y179" s="102">
        <f>'Simulador CH BX+'!M212</f>
        <v>0</v>
      </c>
      <c r="Z179" s="10"/>
      <c r="AA179" s="149">
        <f t="shared" si="71"/>
        <v>0</v>
      </c>
      <c r="AB179" s="101">
        <f t="shared" si="80"/>
        <v>0</v>
      </c>
      <c r="AC179" s="101">
        <f t="shared" si="65"/>
        <v>0</v>
      </c>
      <c r="AD179" s="101">
        <f t="shared" si="66"/>
        <v>0</v>
      </c>
      <c r="AE179" s="101">
        <f t="shared" si="67"/>
        <v>0</v>
      </c>
      <c r="AF179" s="101">
        <f>IF('Simulador CH BX+'!$D$18="Monto de crédito",$F$11*$F$15,AA179*$F$15)</f>
        <v>0</v>
      </c>
      <c r="AG179" s="101">
        <f>IF('Simulador CH BX+'!$D$17="Valor Destructible",IF(M179&gt;$F$8,0,$F$20),IF(M179&gt;$F$8,0,MAX(AA179,$F$10)*$F$19))</f>
        <v>0</v>
      </c>
      <c r="AH179" s="101">
        <f t="shared" si="68"/>
        <v>299</v>
      </c>
      <c r="AI179" s="101">
        <f t="shared" si="69"/>
        <v>299</v>
      </c>
      <c r="AJ179" s="361">
        <f t="shared" si="70"/>
        <v>299</v>
      </c>
    </row>
    <row r="180" spans="1:36" s="2" customFormat="1" ht="13.5" customHeight="1" x14ac:dyDescent="0.25">
      <c r="A180" s="10"/>
      <c r="B180" s="10"/>
      <c r="C180" s="10"/>
      <c r="D180" s="18"/>
      <c r="E180" s="10"/>
      <c r="F180" s="10"/>
      <c r="G180" s="10"/>
      <c r="H180" s="10"/>
      <c r="I180" s="10"/>
      <c r="J180" s="11"/>
      <c r="K180" s="11"/>
      <c r="L180" s="11"/>
      <c r="M180" s="98">
        <v>175</v>
      </c>
      <c r="N180" s="99">
        <f t="shared" si="82"/>
        <v>9.6500000000000002E-2</v>
      </c>
      <c r="O180" s="100">
        <f t="shared" si="81"/>
        <v>0</v>
      </c>
      <c r="P180" s="101">
        <f t="shared" si="75"/>
        <v>0</v>
      </c>
      <c r="Q180" s="101">
        <f t="shared" si="76"/>
        <v>0</v>
      </c>
      <c r="R180" s="101">
        <f t="shared" si="77"/>
        <v>0</v>
      </c>
      <c r="S180" s="101">
        <f t="shared" si="64"/>
        <v>0</v>
      </c>
      <c r="T180" s="101"/>
      <c r="U180" s="101">
        <f>IF('Simulador CH BX+'!$D$18="Monto de crédito",$F$11*$F$15,O180*$F$15)</f>
        <v>0</v>
      </c>
      <c r="V180" s="101">
        <f>IF('Simulador CH BX+'!$D$17="Valor Destructible",IF(O180-$F$18&lt;0,0,$F$18),IF(M180&gt;$F$8,0,MAX(O180,$F$10)*$F$17))</f>
        <v>0</v>
      </c>
      <c r="W180" s="101">
        <f t="shared" si="78"/>
        <v>0</v>
      </c>
      <c r="X180" s="101">
        <f t="shared" si="79"/>
        <v>0</v>
      </c>
      <c r="Y180" s="102">
        <f>'Simulador CH BX+'!M213</f>
        <v>0</v>
      </c>
      <c r="Z180" s="10"/>
      <c r="AA180" s="149">
        <f t="shared" si="71"/>
        <v>0</v>
      </c>
      <c r="AB180" s="101">
        <f t="shared" si="80"/>
        <v>0</v>
      </c>
      <c r="AC180" s="101">
        <f t="shared" si="65"/>
        <v>0</v>
      </c>
      <c r="AD180" s="101">
        <f t="shared" si="66"/>
        <v>0</v>
      </c>
      <c r="AE180" s="101">
        <f t="shared" si="67"/>
        <v>0</v>
      </c>
      <c r="AF180" s="101">
        <f>IF('Simulador CH BX+'!$D$18="Monto de crédito",$F$11*$F$15,AA180*$F$15)</f>
        <v>0</v>
      </c>
      <c r="AG180" s="101">
        <f>IF('Simulador CH BX+'!$D$17="Valor Destructible",IF(M180&gt;$F$8,0,$F$20),IF(M180&gt;$F$8,0,MAX(AA180,$F$10)*$F$19))</f>
        <v>0</v>
      </c>
      <c r="AH180" s="101">
        <f t="shared" si="68"/>
        <v>299</v>
      </c>
      <c r="AI180" s="101">
        <f t="shared" si="69"/>
        <v>299</v>
      </c>
      <c r="AJ180" s="361">
        <f t="shared" si="70"/>
        <v>299</v>
      </c>
    </row>
    <row r="181" spans="1:36" s="2" customFormat="1" ht="13.5" customHeight="1" x14ac:dyDescent="0.25">
      <c r="A181" s="10"/>
      <c r="B181" s="10"/>
      <c r="C181" s="10"/>
      <c r="D181" s="18"/>
      <c r="E181" s="10"/>
      <c r="F181" s="10"/>
      <c r="G181" s="10"/>
      <c r="H181" s="10"/>
      <c r="I181" s="10"/>
      <c r="J181" s="11"/>
      <c r="K181" s="11"/>
      <c r="L181" s="11"/>
      <c r="M181" s="98">
        <v>176</v>
      </c>
      <c r="N181" s="99">
        <f t="shared" si="82"/>
        <v>9.6500000000000002E-2</v>
      </c>
      <c r="O181" s="100">
        <f t="shared" si="81"/>
        <v>0</v>
      </c>
      <c r="P181" s="101">
        <f t="shared" si="75"/>
        <v>0</v>
      </c>
      <c r="Q181" s="101">
        <f t="shared" si="76"/>
        <v>0</v>
      </c>
      <c r="R181" s="101">
        <f t="shared" si="77"/>
        <v>0</v>
      </c>
      <c r="S181" s="101">
        <f t="shared" si="64"/>
        <v>0</v>
      </c>
      <c r="T181" s="101"/>
      <c r="U181" s="101">
        <f>IF('Simulador CH BX+'!$D$18="Monto de crédito",$F$11*$F$15,O181*$F$15)</f>
        <v>0</v>
      </c>
      <c r="V181" s="101">
        <f>IF('Simulador CH BX+'!$D$17="Valor Destructible",IF(O181-$F$18&lt;0,0,$F$18),IF(M181&gt;$F$8,0,MAX(O181,$F$10)*$F$17))</f>
        <v>0</v>
      </c>
      <c r="W181" s="101">
        <f t="shared" si="78"/>
        <v>0</v>
      </c>
      <c r="X181" s="101">
        <f t="shared" si="79"/>
        <v>0</v>
      </c>
      <c r="Y181" s="102">
        <f>'Simulador CH BX+'!M214</f>
        <v>0</v>
      </c>
      <c r="Z181" s="10"/>
      <c r="AA181" s="149">
        <f t="shared" si="71"/>
        <v>0</v>
      </c>
      <c r="AB181" s="101">
        <f t="shared" si="80"/>
        <v>0</v>
      </c>
      <c r="AC181" s="101">
        <f t="shared" si="65"/>
        <v>0</v>
      </c>
      <c r="AD181" s="101">
        <f t="shared" si="66"/>
        <v>0</v>
      </c>
      <c r="AE181" s="101">
        <f t="shared" si="67"/>
        <v>0</v>
      </c>
      <c r="AF181" s="101">
        <f>IF('Simulador CH BX+'!$D$18="Monto de crédito",$F$11*$F$15,AA181*$F$15)</f>
        <v>0</v>
      </c>
      <c r="AG181" s="101">
        <f>IF('Simulador CH BX+'!$D$17="Valor Destructible",IF(M181&gt;$F$8,0,$F$20),IF(M181&gt;$F$8,0,MAX(AA181,$F$10)*$F$19))</f>
        <v>0</v>
      </c>
      <c r="AH181" s="101">
        <f t="shared" si="68"/>
        <v>299</v>
      </c>
      <c r="AI181" s="101">
        <f t="shared" si="69"/>
        <v>299</v>
      </c>
      <c r="AJ181" s="361">
        <f t="shared" si="70"/>
        <v>299</v>
      </c>
    </row>
    <row r="182" spans="1:36" s="2" customFormat="1" ht="13.5" customHeight="1" x14ac:dyDescent="0.25">
      <c r="A182" s="10"/>
      <c r="B182" s="10"/>
      <c r="C182" s="10"/>
      <c r="D182" s="18"/>
      <c r="E182" s="10"/>
      <c r="F182" s="10"/>
      <c r="G182" s="10"/>
      <c r="H182" s="10"/>
      <c r="I182" s="10"/>
      <c r="J182" s="11"/>
      <c r="K182" s="11"/>
      <c r="L182" s="11"/>
      <c r="M182" s="98">
        <v>177</v>
      </c>
      <c r="N182" s="99">
        <f t="shared" si="82"/>
        <v>9.6500000000000002E-2</v>
      </c>
      <c r="O182" s="100">
        <f t="shared" si="81"/>
        <v>0</v>
      </c>
      <c r="P182" s="101">
        <f t="shared" si="75"/>
        <v>0</v>
      </c>
      <c r="Q182" s="101">
        <f t="shared" si="76"/>
        <v>0</v>
      </c>
      <c r="R182" s="101">
        <f t="shared" si="77"/>
        <v>0</v>
      </c>
      <c r="S182" s="101">
        <f t="shared" si="64"/>
        <v>0</v>
      </c>
      <c r="T182" s="101"/>
      <c r="U182" s="101">
        <f>IF('Simulador CH BX+'!$D$18="Monto de crédito",$F$11*$F$15,O182*$F$15)</f>
        <v>0</v>
      </c>
      <c r="V182" s="101">
        <f>IF('Simulador CH BX+'!$D$17="Valor Destructible",IF(O182-$F$18&lt;0,0,$F$18),IF(M182&gt;$F$8,0,MAX(O182,$F$10)*$F$17))</f>
        <v>0</v>
      </c>
      <c r="W182" s="101">
        <f t="shared" si="78"/>
        <v>0</v>
      </c>
      <c r="X182" s="101">
        <f t="shared" si="79"/>
        <v>0</v>
      </c>
      <c r="Y182" s="102">
        <f>'Simulador CH BX+'!M215</f>
        <v>0</v>
      </c>
      <c r="Z182" s="10"/>
      <c r="AA182" s="149">
        <f t="shared" si="71"/>
        <v>0</v>
      </c>
      <c r="AB182" s="101">
        <f t="shared" si="80"/>
        <v>0</v>
      </c>
      <c r="AC182" s="101">
        <f t="shared" si="65"/>
        <v>0</v>
      </c>
      <c r="AD182" s="101">
        <f t="shared" si="66"/>
        <v>0</v>
      </c>
      <c r="AE182" s="101">
        <f t="shared" si="67"/>
        <v>0</v>
      </c>
      <c r="AF182" s="101">
        <f>IF('Simulador CH BX+'!$D$18="Monto de crédito",$F$11*$F$15,AA182*$F$15)</f>
        <v>0</v>
      </c>
      <c r="AG182" s="101">
        <f>IF('Simulador CH BX+'!$D$17="Valor Destructible",IF(M182&gt;$F$8,0,$F$20),IF(M182&gt;$F$8,0,MAX(AA182,$F$10)*$F$19))</f>
        <v>0</v>
      </c>
      <c r="AH182" s="101">
        <f t="shared" si="68"/>
        <v>299</v>
      </c>
      <c r="AI182" s="101">
        <f t="shared" si="69"/>
        <v>299</v>
      </c>
      <c r="AJ182" s="361">
        <f t="shared" si="70"/>
        <v>299</v>
      </c>
    </row>
    <row r="183" spans="1:36" s="6" customFormat="1" ht="13.5" customHeight="1" x14ac:dyDescent="0.25">
      <c r="A183" s="11"/>
      <c r="B183" s="10"/>
      <c r="C183" s="10"/>
      <c r="D183" s="18"/>
      <c r="E183" s="10"/>
      <c r="F183" s="10"/>
      <c r="G183" s="10"/>
      <c r="H183" s="10"/>
      <c r="I183" s="10"/>
      <c r="J183" s="10"/>
      <c r="K183" s="10"/>
      <c r="L183" s="11"/>
      <c r="M183" s="98">
        <v>178</v>
      </c>
      <c r="N183" s="99">
        <f t="shared" si="82"/>
        <v>9.6500000000000002E-2</v>
      </c>
      <c r="O183" s="100">
        <f t="shared" si="81"/>
        <v>0</v>
      </c>
      <c r="P183" s="101">
        <f t="shared" si="75"/>
        <v>0</v>
      </c>
      <c r="Q183" s="101">
        <f t="shared" si="76"/>
        <v>0</v>
      </c>
      <c r="R183" s="101">
        <f t="shared" si="77"/>
        <v>0</v>
      </c>
      <c r="S183" s="101">
        <f t="shared" si="64"/>
        <v>0</v>
      </c>
      <c r="T183" s="101"/>
      <c r="U183" s="101">
        <f>IF('Simulador CH BX+'!$D$18="Monto de crédito",$F$11*$F$15,O183*$F$15)</f>
        <v>0</v>
      </c>
      <c r="V183" s="101">
        <f>IF('Simulador CH BX+'!$D$17="Valor Destructible",IF(O183-$F$18&lt;0,0,$F$18),IF(M183&gt;$F$8,0,MAX(O183,$F$10)*$F$17))</f>
        <v>0</v>
      </c>
      <c r="W183" s="101">
        <f t="shared" si="78"/>
        <v>0</v>
      </c>
      <c r="X183" s="101">
        <f t="shared" si="79"/>
        <v>0</v>
      </c>
      <c r="Y183" s="102">
        <f>'Simulador CH BX+'!M216</f>
        <v>0</v>
      </c>
      <c r="Z183" s="11"/>
      <c r="AA183" s="149">
        <f t="shared" si="71"/>
        <v>0</v>
      </c>
      <c r="AB183" s="101">
        <f t="shared" si="80"/>
        <v>0</v>
      </c>
      <c r="AC183" s="101">
        <f t="shared" si="65"/>
        <v>0</v>
      </c>
      <c r="AD183" s="101">
        <f t="shared" si="66"/>
        <v>0</v>
      </c>
      <c r="AE183" s="101">
        <f t="shared" si="67"/>
        <v>0</v>
      </c>
      <c r="AF183" s="101">
        <f>IF('Simulador CH BX+'!$D$18="Monto de crédito",$F$11*$F$15,AA183*$F$15)</f>
        <v>0</v>
      </c>
      <c r="AG183" s="101">
        <f>IF('Simulador CH BX+'!$D$17="Valor Destructible",IF(M183&gt;$F$8,0,$F$20),IF(M183&gt;$F$8,0,MAX(AA183,$F$10)*$F$19))</f>
        <v>0</v>
      </c>
      <c r="AH183" s="101">
        <f t="shared" si="68"/>
        <v>299</v>
      </c>
      <c r="AI183" s="101">
        <f t="shared" si="69"/>
        <v>299</v>
      </c>
      <c r="AJ183" s="361">
        <f t="shared" si="70"/>
        <v>299</v>
      </c>
    </row>
    <row r="184" spans="1:36" s="6" customFormat="1" ht="13.5" customHeight="1" x14ac:dyDescent="0.25">
      <c r="A184" s="11"/>
      <c r="B184" s="11"/>
      <c r="C184" s="11"/>
      <c r="D184" s="11"/>
      <c r="E184" s="10"/>
      <c r="F184" s="10"/>
      <c r="G184" s="10"/>
      <c r="H184" s="10"/>
      <c r="I184" s="10"/>
      <c r="J184" s="10"/>
      <c r="K184" s="10"/>
      <c r="L184" s="11"/>
      <c r="M184" s="98">
        <v>179</v>
      </c>
      <c r="N184" s="99">
        <f t="shared" si="82"/>
        <v>9.6500000000000002E-2</v>
      </c>
      <c r="O184" s="100">
        <f>(O183-Q183)-Y183</f>
        <v>0</v>
      </c>
      <c r="P184" s="101">
        <f t="shared" si="75"/>
        <v>0</v>
      </c>
      <c r="Q184" s="101">
        <f t="shared" si="76"/>
        <v>0</v>
      </c>
      <c r="R184" s="101">
        <f t="shared" si="77"/>
        <v>0</v>
      </c>
      <c r="S184" s="101">
        <f t="shared" si="64"/>
        <v>0</v>
      </c>
      <c r="T184" s="101"/>
      <c r="U184" s="101">
        <f>IF('Simulador CH BX+'!$D$18="Monto de crédito",$F$11*$F$15,O184*$F$15)</f>
        <v>0</v>
      </c>
      <c r="V184" s="101">
        <f>IF('Simulador CH BX+'!$D$17="Valor Destructible",IF(O184-$F$18&lt;0,0,$F$18),IF(M184&gt;$F$8,0,MAX(O184,$F$10)*$F$17))</f>
        <v>0</v>
      </c>
      <c r="W184" s="101">
        <f t="shared" si="78"/>
        <v>0</v>
      </c>
      <c r="X184" s="101">
        <f t="shared" si="79"/>
        <v>0</v>
      </c>
      <c r="Y184" s="102">
        <f>'Simulador CH BX+'!M217</f>
        <v>0</v>
      </c>
      <c r="Z184" s="11"/>
      <c r="AA184" s="149">
        <f t="shared" si="71"/>
        <v>0</v>
      </c>
      <c r="AB184" s="101">
        <f t="shared" si="80"/>
        <v>0</v>
      </c>
      <c r="AC184" s="101">
        <f t="shared" si="65"/>
        <v>0</v>
      </c>
      <c r="AD184" s="101">
        <f t="shared" si="66"/>
        <v>0</v>
      </c>
      <c r="AE184" s="101">
        <f t="shared" si="67"/>
        <v>0</v>
      </c>
      <c r="AF184" s="101">
        <f>IF('Simulador CH BX+'!$D$18="Monto de crédito",$F$11*$F$15,AA184*$F$15)</f>
        <v>0</v>
      </c>
      <c r="AG184" s="101">
        <f>IF('Simulador CH BX+'!$D$17="Valor Destructible",IF(M184&gt;$F$8,0,$F$20),IF(M184&gt;$F$8,0,MAX(AA184,$F$10)*$F$19))</f>
        <v>0</v>
      </c>
      <c r="AH184" s="101">
        <f t="shared" si="68"/>
        <v>299</v>
      </c>
      <c r="AI184" s="101">
        <f t="shared" si="69"/>
        <v>299</v>
      </c>
      <c r="AJ184" s="361">
        <f t="shared" si="70"/>
        <v>299</v>
      </c>
    </row>
    <row r="185" spans="1:36" s="6" customFormat="1" ht="13.5" customHeight="1" x14ac:dyDescent="0.25">
      <c r="A185" s="11"/>
      <c r="B185" s="11"/>
      <c r="C185" s="11"/>
      <c r="D185" s="11"/>
      <c r="E185" s="10"/>
      <c r="F185" s="10"/>
      <c r="G185" s="10"/>
      <c r="H185" s="10"/>
      <c r="I185" s="10"/>
      <c r="J185" s="10"/>
      <c r="K185" s="10"/>
      <c r="L185" s="11"/>
      <c r="M185" s="103">
        <f>M184+1</f>
        <v>180</v>
      </c>
      <c r="N185" s="104">
        <f t="shared" si="82"/>
        <v>9.6500000000000002E-2</v>
      </c>
      <c r="O185" s="105">
        <f t="shared" ref="O185" si="83">(O184-Q184)-Y184</f>
        <v>0</v>
      </c>
      <c r="P185" s="106">
        <f t="shared" si="75"/>
        <v>0</v>
      </c>
      <c r="Q185" s="106">
        <f t="shared" si="76"/>
        <v>0</v>
      </c>
      <c r="R185" s="106">
        <f>IF(O185-F$14&lt;0,0,F$14)</f>
        <v>0</v>
      </c>
      <c r="S185" s="106">
        <f t="shared" si="64"/>
        <v>0</v>
      </c>
      <c r="T185" s="106"/>
      <c r="U185" s="106">
        <f>IF('Simulador CH BX+'!$D$18="Monto de crédito",$F$11*$F$15,O185*$F$15)</f>
        <v>0</v>
      </c>
      <c r="V185" s="106">
        <f>IF('Simulador CH BX+'!$D$17="Valor Destructible",IF(O185-$F$18&lt;0,0,$F$18),IF(M185&gt;$F$8,0,MAX(O185,$F$10)*$F$17))</f>
        <v>0</v>
      </c>
      <c r="W185" s="106">
        <f t="shared" si="78"/>
        <v>0</v>
      </c>
      <c r="X185" s="106">
        <f t="shared" si="79"/>
        <v>0</v>
      </c>
      <c r="Y185" s="107">
        <v>0</v>
      </c>
      <c r="Z185" s="11"/>
      <c r="AA185" s="150">
        <f t="shared" si="71"/>
        <v>0</v>
      </c>
      <c r="AB185" s="106">
        <f t="shared" si="80"/>
        <v>0</v>
      </c>
      <c r="AC185" s="106">
        <f t="shared" si="65"/>
        <v>0</v>
      </c>
      <c r="AD185" s="106">
        <f t="shared" si="66"/>
        <v>0</v>
      </c>
      <c r="AE185" s="106">
        <f t="shared" si="67"/>
        <v>0</v>
      </c>
      <c r="AF185" s="106">
        <f>IF('Simulador CH BX+'!$D$18="Monto de crédito",$F$11*$F$15,AA185*$F$15)</f>
        <v>0</v>
      </c>
      <c r="AG185" s="106">
        <f>IF('Simulador CH BX+'!$D$17="Valor Destructible",IF(M185&gt;$F$8,0,$F$20),IF(M185&gt;$F$8,0,MAX(AA185,$F$10)*$F$19))</f>
        <v>0</v>
      </c>
      <c r="AH185" s="106">
        <f t="shared" si="68"/>
        <v>299</v>
      </c>
      <c r="AI185" s="106">
        <f t="shared" si="69"/>
        <v>299</v>
      </c>
      <c r="AJ185" s="107">
        <f t="shared" si="70"/>
        <v>299</v>
      </c>
    </row>
    <row r="186" spans="1:36" s="6" customFormat="1" ht="13.5" customHeight="1" x14ac:dyDescent="0.25">
      <c r="A186" s="11"/>
      <c r="B186" s="11"/>
      <c r="C186" s="11"/>
      <c r="D186" s="11"/>
      <c r="E186" s="10"/>
      <c r="F186" s="10"/>
      <c r="G186" s="10"/>
      <c r="H186" s="10"/>
      <c r="I186" s="10"/>
      <c r="J186" s="10"/>
      <c r="K186" s="10"/>
      <c r="L186" s="11"/>
      <c r="M186" s="360">
        <f>M185+1</f>
        <v>181</v>
      </c>
      <c r="N186" s="111">
        <f t="shared" ref="N186:N245" si="84">C$33</f>
        <v>9.6500000000000002E-2</v>
      </c>
      <c r="O186" s="119">
        <f t="shared" ref="O186:O245" si="85">(O185-Q185)-Y185</f>
        <v>0</v>
      </c>
      <c r="P186" s="110">
        <f t="shared" ref="P186:P245" si="86">O186*(N186/12)</f>
        <v>0</v>
      </c>
      <c r="Q186" s="110">
        <f t="shared" ref="Q186:Q245" si="87">IF(R186-P186&lt;0,O186,R186-P186)</f>
        <v>0</v>
      </c>
      <c r="R186" s="110">
        <f t="shared" ref="R186:R245" si="88">IF(O186-F$14&lt;0,0,F$14)</f>
        <v>0</v>
      </c>
      <c r="S186" s="110">
        <f t="shared" ref="S186:S245" si="89">P186+Q186</f>
        <v>0</v>
      </c>
      <c r="T186" s="110"/>
      <c r="U186" s="110">
        <f>IF('Simulador CH BX+'!$D$18="Monto de crédito",$F$11*$F$15,O186*$F$15)</f>
        <v>0</v>
      </c>
      <c r="V186" s="110">
        <f>IF('Simulador CH BX+'!$D$17="Valor Destructible",IF(O186-$F$18&lt;0,0,$F$18),IF(M186&gt;$F$8,0,MAX(O186,$F$10)*$F$17))</f>
        <v>0</v>
      </c>
      <c r="W186" s="110">
        <f t="shared" ref="W186:W245" si="90">IF(O186-F$22&lt;0,0,F$22)</f>
        <v>0</v>
      </c>
      <c r="X186" s="110">
        <f t="shared" ref="X186:X245" si="91">P186+Q186+U186+V186+W186</f>
        <v>0</v>
      </c>
      <c r="Y186" s="361">
        <f>'Simulador CH BX+'!M219</f>
        <v>0</v>
      </c>
      <c r="Z186" s="11"/>
      <c r="AA186" s="151">
        <f t="shared" si="71"/>
        <v>0</v>
      </c>
      <c r="AB186" s="110">
        <f t="shared" si="80"/>
        <v>0</v>
      </c>
      <c r="AC186" s="110">
        <f>AD186-AB186</f>
        <v>0</v>
      </c>
      <c r="AD186" s="110">
        <f t="shared" si="66"/>
        <v>0</v>
      </c>
      <c r="AE186" s="110">
        <f t="shared" si="67"/>
        <v>0</v>
      </c>
      <c r="AF186" s="110">
        <f>IF('Simulador CH BX+'!$D$18="Monto de crédito",$F$11*$F$15,AA186*$F$15)</f>
        <v>0</v>
      </c>
      <c r="AG186" s="110">
        <f>IF('Simulador CH BX+'!$D$17="Valor Destructible",IF(M186&gt;$F$8,0,$F$20),IF(M186&gt;$F$8,0,MAX(AA186,$F$10)*$F$19))</f>
        <v>0</v>
      </c>
      <c r="AH186" s="110">
        <f t="shared" si="68"/>
        <v>299</v>
      </c>
      <c r="AI186" s="110">
        <f t="shared" si="69"/>
        <v>299</v>
      </c>
      <c r="AJ186" s="361">
        <f t="shared" si="70"/>
        <v>299</v>
      </c>
    </row>
    <row r="187" spans="1:36" s="6" customFormat="1" ht="13.5" customHeight="1" x14ac:dyDescent="0.25">
      <c r="A187" s="11"/>
      <c r="B187" s="11"/>
      <c r="C187" s="11"/>
      <c r="D187" s="11"/>
      <c r="E187" s="10"/>
      <c r="F187" s="10"/>
      <c r="G187" s="10"/>
      <c r="H187" s="10"/>
      <c r="I187" s="10"/>
      <c r="J187" s="10"/>
      <c r="K187" s="10"/>
      <c r="L187" s="11"/>
      <c r="M187" s="360">
        <f t="shared" ref="M187:M240" si="92">M186+1</f>
        <v>182</v>
      </c>
      <c r="N187" s="111">
        <f t="shared" si="84"/>
        <v>9.6500000000000002E-2</v>
      </c>
      <c r="O187" s="119">
        <f>(O186-Q186)-Y186</f>
        <v>0</v>
      </c>
      <c r="P187" s="110">
        <f t="shared" si="86"/>
        <v>0</v>
      </c>
      <c r="Q187" s="110">
        <f t="shared" si="87"/>
        <v>0</v>
      </c>
      <c r="R187" s="110">
        <f t="shared" si="88"/>
        <v>0</v>
      </c>
      <c r="S187" s="110">
        <f t="shared" si="89"/>
        <v>0</v>
      </c>
      <c r="T187" s="110"/>
      <c r="U187" s="110">
        <f>IF('Simulador CH BX+'!$D$18="Monto de crédito",$F$11*$F$15,O187*$F$15)</f>
        <v>0</v>
      </c>
      <c r="V187" s="110">
        <f>IF('Simulador CH BX+'!$D$17="Valor Destructible",IF(O187-$F$18&lt;0,0,$F$18),IF(M187&gt;$F$8,0,MAX(O187,$F$10)*$F$17))</f>
        <v>0</v>
      </c>
      <c r="W187" s="110">
        <f t="shared" si="90"/>
        <v>0</v>
      </c>
      <c r="X187" s="110">
        <f t="shared" si="91"/>
        <v>0</v>
      </c>
      <c r="Y187" s="361">
        <f>'Simulador CH BX+'!M220</f>
        <v>0</v>
      </c>
      <c r="Z187" s="11"/>
      <c r="AA187" s="151">
        <f t="shared" si="71"/>
        <v>0</v>
      </c>
      <c r="AB187" s="110">
        <f t="shared" ref="AB187:AB245" si="93">AA187*(N187/12)</f>
        <v>0</v>
      </c>
      <c r="AC187" s="110">
        <f t="shared" ref="AC187:AC245" si="94">AD187-AB187</f>
        <v>0</v>
      </c>
      <c r="AD187" s="110">
        <f t="shared" si="66"/>
        <v>0</v>
      </c>
      <c r="AE187" s="110">
        <f t="shared" ref="AE187:AE245" si="95">AB187+AC187</f>
        <v>0</v>
      </c>
      <c r="AF187" s="110">
        <f>IF('Simulador CH BX+'!$D$18="Monto de crédito",$F$11*$F$15,AA187*$F$15)</f>
        <v>0</v>
      </c>
      <c r="AG187" s="110">
        <f>IF('Simulador CH BX+'!$D$17="Valor Destructible",IF(M187&gt;$F$8,0,$F$20),IF(M187&gt;$F$8,0,MAX(AA187,$F$10)*$F$19))</f>
        <v>0</v>
      </c>
      <c r="AH187" s="110">
        <f t="shared" si="68"/>
        <v>299</v>
      </c>
      <c r="AI187" s="110">
        <f t="shared" si="69"/>
        <v>299</v>
      </c>
      <c r="AJ187" s="361">
        <f t="shared" si="70"/>
        <v>299</v>
      </c>
    </row>
    <row r="188" spans="1:36" s="6" customFormat="1" ht="13.5" customHeight="1" x14ac:dyDescent="0.25">
      <c r="A188" s="11"/>
      <c r="B188" s="11"/>
      <c r="C188" s="11"/>
      <c r="D188" s="11"/>
      <c r="E188" s="10"/>
      <c r="F188" s="10"/>
      <c r="G188" s="10"/>
      <c r="H188" s="10"/>
      <c r="I188" s="10"/>
      <c r="J188" s="10"/>
      <c r="K188" s="10"/>
      <c r="L188" s="11"/>
      <c r="M188" s="360">
        <f t="shared" si="92"/>
        <v>183</v>
      </c>
      <c r="N188" s="111">
        <f t="shared" si="84"/>
        <v>9.6500000000000002E-2</v>
      </c>
      <c r="O188" s="119">
        <f t="shared" si="85"/>
        <v>0</v>
      </c>
      <c r="P188" s="110">
        <f t="shared" si="86"/>
        <v>0</v>
      </c>
      <c r="Q188" s="110">
        <f t="shared" si="87"/>
        <v>0</v>
      </c>
      <c r="R188" s="110">
        <f t="shared" si="88"/>
        <v>0</v>
      </c>
      <c r="S188" s="110">
        <f t="shared" si="89"/>
        <v>0</v>
      </c>
      <c r="T188" s="110"/>
      <c r="U188" s="110">
        <f>IF('Simulador CH BX+'!$D$18="Monto de crédito",$F$11*$F$15,O188*$F$15)</f>
        <v>0</v>
      </c>
      <c r="V188" s="110">
        <f>IF('Simulador CH BX+'!$D$17="Valor Destructible",IF(O188-$F$18&lt;0,0,$F$18),IF(M188&gt;$F$8,0,MAX(O188,$F$10)*$F$17))</f>
        <v>0</v>
      </c>
      <c r="W188" s="110">
        <f t="shared" si="90"/>
        <v>0</v>
      </c>
      <c r="X188" s="110">
        <f t="shared" si="91"/>
        <v>0</v>
      </c>
      <c r="Y188" s="361">
        <f>'Simulador CH BX+'!M221</f>
        <v>0</v>
      </c>
      <c r="Z188" s="11"/>
      <c r="AA188" s="151">
        <f t="shared" si="71"/>
        <v>0</v>
      </c>
      <c r="AB188" s="110">
        <f t="shared" si="93"/>
        <v>0</v>
      </c>
      <c r="AC188" s="110">
        <f t="shared" si="94"/>
        <v>0</v>
      </c>
      <c r="AD188" s="110">
        <f t="shared" si="66"/>
        <v>0</v>
      </c>
      <c r="AE188" s="110">
        <f t="shared" si="95"/>
        <v>0</v>
      </c>
      <c r="AF188" s="110">
        <f>IF('Simulador CH BX+'!$D$18="Monto de crédito",$F$11*$F$15,AA188*$F$15)</f>
        <v>0</v>
      </c>
      <c r="AG188" s="110">
        <f>IF('Simulador CH BX+'!$D$17="Valor Destructible",IF(M188&gt;$F$8,0,$F$20),IF(M188&gt;$F$8,0,MAX(AA188,$F$10)*$F$19))</f>
        <v>0</v>
      </c>
      <c r="AH188" s="110">
        <f t="shared" si="68"/>
        <v>299</v>
      </c>
      <c r="AI188" s="110">
        <f t="shared" si="69"/>
        <v>299</v>
      </c>
      <c r="AJ188" s="361">
        <f t="shared" si="70"/>
        <v>299</v>
      </c>
    </row>
    <row r="189" spans="1:36" s="6" customFormat="1" ht="13.5" customHeight="1" x14ac:dyDescent="0.25">
      <c r="A189" s="11"/>
      <c r="B189" s="11"/>
      <c r="C189" s="11"/>
      <c r="D189" s="11"/>
      <c r="E189" s="10"/>
      <c r="F189" s="10"/>
      <c r="G189" s="10"/>
      <c r="H189" s="10"/>
      <c r="I189" s="10"/>
      <c r="J189" s="10"/>
      <c r="K189" s="10"/>
      <c r="L189" s="11"/>
      <c r="M189" s="360">
        <f t="shared" si="92"/>
        <v>184</v>
      </c>
      <c r="N189" s="111">
        <f t="shared" si="84"/>
        <v>9.6500000000000002E-2</v>
      </c>
      <c r="O189" s="119">
        <f t="shared" si="85"/>
        <v>0</v>
      </c>
      <c r="P189" s="110">
        <f t="shared" si="86"/>
        <v>0</v>
      </c>
      <c r="Q189" s="110">
        <f t="shared" si="87"/>
        <v>0</v>
      </c>
      <c r="R189" s="110">
        <f t="shared" si="88"/>
        <v>0</v>
      </c>
      <c r="S189" s="110">
        <f t="shared" si="89"/>
        <v>0</v>
      </c>
      <c r="T189" s="110"/>
      <c r="U189" s="110">
        <f>IF('Simulador CH BX+'!$D$18="Monto de crédito",$F$11*$F$15,O189*$F$15)</f>
        <v>0</v>
      </c>
      <c r="V189" s="110">
        <f>IF('Simulador CH BX+'!$D$17="Valor Destructible",IF(O189-$F$18&lt;0,0,$F$18),IF(M189&gt;$F$8,0,MAX(O189,$F$10)*$F$17))</f>
        <v>0</v>
      </c>
      <c r="W189" s="110">
        <f t="shared" si="90"/>
        <v>0</v>
      </c>
      <c r="X189" s="110">
        <f t="shared" si="91"/>
        <v>0</v>
      </c>
      <c r="Y189" s="361">
        <f>'Simulador CH BX+'!M222</f>
        <v>0</v>
      </c>
      <c r="Z189" s="11"/>
      <c r="AA189" s="151">
        <f t="shared" si="71"/>
        <v>0</v>
      </c>
      <c r="AB189" s="110">
        <f t="shared" si="93"/>
        <v>0</v>
      </c>
      <c r="AC189" s="110">
        <f t="shared" si="94"/>
        <v>0</v>
      </c>
      <c r="AD189" s="110">
        <f t="shared" si="66"/>
        <v>0</v>
      </c>
      <c r="AE189" s="110">
        <f t="shared" si="95"/>
        <v>0</v>
      </c>
      <c r="AF189" s="110">
        <f>IF('Simulador CH BX+'!$D$18="Monto de crédito",$F$11*$F$15,AA189*$F$15)</f>
        <v>0</v>
      </c>
      <c r="AG189" s="110">
        <f>IF('Simulador CH BX+'!$D$17="Valor Destructible",IF(M189&gt;$F$8,0,$F$20),IF(M189&gt;$F$8,0,MAX(AA189,$F$10)*$F$19))</f>
        <v>0</v>
      </c>
      <c r="AH189" s="110">
        <f t="shared" si="68"/>
        <v>299</v>
      </c>
      <c r="AI189" s="110">
        <f t="shared" si="69"/>
        <v>299</v>
      </c>
      <c r="AJ189" s="361">
        <f t="shared" si="70"/>
        <v>299</v>
      </c>
    </row>
    <row r="190" spans="1:36" s="6" customFormat="1" ht="13.5" customHeight="1" x14ac:dyDescent="0.25">
      <c r="A190" s="11"/>
      <c r="B190" s="11"/>
      <c r="C190" s="11"/>
      <c r="D190" s="11"/>
      <c r="E190" s="10"/>
      <c r="F190" s="10"/>
      <c r="G190" s="10"/>
      <c r="H190" s="10"/>
      <c r="I190" s="11"/>
      <c r="J190" s="10"/>
      <c r="K190" s="10"/>
      <c r="L190" s="11"/>
      <c r="M190" s="360">
        <f t="shared" si="92"/>
        <v>185</v>
      </c>
      <c r="N190" s="111">
        <f t="shared" si="84"/>
        <v>9.6500000000000002E-2</v>
      </c>
      <c r="O190" s="119">
        <f t="shared" si="85"/>
        <v>0</v>
      </c>
      <c r="P190" s="110">
        <f t="shared" si="86"/>
        <v>0</v>
      </c>
      <c r="Q190" s="110">
        <f t="shared" si="87"/>
        <v>0</v>
      </c>
      <c r="R190" s="110">
        <f t="shared" si="88"/>
        <v>0</v>
      </c>
      <c r="S190" s="110">
        <f t="shared" si="89"/>
        <v>0</v>
      </c>
      <c r="T190" s="110"/>
      <c r="U190" s="110">
        <f>IF('Simulador CH BX+'!$D$18="Monto de crédito",$F$11*$F$15,O190*$F$15)</f>
        <v>0</v>
      </c>
      <c r="V190" s="110">
        <f>IF('Simulador CH BX+'!$D$17="Valor Destructible",IF(O190-$F$18&lt;0,0,$F$18),IF(M190&gt;$F$8,0,MAX(O190,$F$10)*$F$17))</f>
        <v>0</v>
      </c>
      <c r="W190" s="110">
        <f t="shared" si="90"/>
        <v>0</v>
      </c>
      <c r="X190" s="110">
        <f t="shared" si="91"/>
        <v>0</v>
      </c>
      <c r="Y190" s="361">
        <f>'Simulador CH BX+'!M223</f>
        <v>0</v>
      </c>
      <c r="Z190" s="11"/>
      <c r="AA190" s="151">
        <f t="shared" si="71"/>
        <v>0</v>
      </c>
      <c r="AB190" s="110">
        <f t="shared" si="93"/>
        <v>0</v>
      </c>
      <c r="AC190" s="110">
        <f t="shared" si="94"/>
        <v>0</v>
      </c>
      <c r="AD190" s="110">
        <f t="shared" si="66"/>
        <v>0</v>
      </c>
      <c r="AE190" s="110">
        <f t="shared" si="95"/>
        <v>0</v>
      </c>
      <c r="AF190" s="110">
        <f>IF('Simulador CH BX+'!$D$18="Monto de crédito",$F$11*$F$15,AA190*$F$15)</f>
        <v>0</v>
      </c>
      <c r="AG190" s="110">
        <f>IF('Simulador CH BX+'!$D$17="Valor Destructible",IF(M190&gt;$F$8,0,$F$20),IF(M190&gt;$F$8,0,MAX(AA190,$F$10)*$F$19))</f>
        <v>0</v>
      </c>
      <c r="AH190" s="110">
        <f t="shared" si="68"/>
        <v>299</v>
      </c>
      <c r="AI190" s="110">
        <f t="shared" si="69"/>
        <v>299</v>
      </c>
      <c r="AJ190" s="361">
        <f t="shared" si="70"/>
        <v>299</v>
      </c>
    </row>
    <row r="191" spans="1:36" s="6" customFormat="1" ht="13.5" customHeight="1" x14ac:dyDescent="0.25">
      <c r="A191" s="11"/>
      <c r="B191" s="11"/>
      <c r="C191" s="11"/>
      <c r="D191" s="11"/>
      <c r="E191" s="10"/>
      <c r="F191" s="10"/>
      <c r="G191" s="10"/>
      <c r="H191" s="11"/>
      <c r="I191" s="11"/>
      <c r="J191" s="10"/>
      <c r="K191" s="10"/>
      <c r="L191" s="11"/>
      <c r="M191" s="360">
        <f t="shared" si="92"/>
        <v>186</v>
      </c>
      <c r="N191" s="111">
        <f t="shared" si="84"/>
        <v>9.6500000000000002E-2</v>
      </c>
      <c r="O191" s="119">
        <f t="shared" si="85"/>
        <v>0</v>
      </c>
      <c r="P191" s="110">
        <f t="shared" si="86"/>
        <v>0</v>
      </c>
      <c r="Q191" s="110">
        <f t="shared" si="87"/>
        <v>0</v>
      </c>
      <c r="R191" s="110">
        <f t="shared" si="88"/>
        <v>0</v>
      </c>
      <c r="S191" s="110">
        <f t="shared" si="89"/>
        <v>0</v>
      </c>
      <c r="T191" s="110"/>
      <c r="U191" s="110">
        <f>IF('Simulador CH BX+'!$D$18="Monto de crédito",$F$11*$F$15,O191*$F$15)</f>
        <v>0</v>
      </c>
      <c r="V191" s="110">
        <f>IF('Simulador CH BX+'!$D$17="Valor Destructible",IF(O191-$F$18&lt;0,0,$F$18),IF(M191&gt;$F$8,0,MAX(O191,$F$10)*$F$17))</f>
        <v>0</v>
      </c>
      <c r="W191" s="110">
        <f t="shared" si="90"/>
        <v>0</v>
      </c>
      <c r="X191" s="110">
        <f t="shared" si="91"/>
        <v>0</v>
      </c>
      <c r="Y191" s="361">
        <f>'Simulador CH BX+'!M224</f>
        <v>0</v>
      </c>
      <c r="Z191" s="11"/>
      <c r="AA191" s="151">
        <f t="shared" si="71"/>
        <v>0</v>
      </c>
      <c r="AB191" s="110">
        <f t="shared" si="93"/>
        <v>0</v>
      </c>
      <c r="AC191" s="110">
        <f t="shared" si="94"/>
        <v>0</v>
      </c>
      <c r="AD191" s="110">
        <f t="shared" si="66"/>
        <v>0</v>
      </c>
      <c r="AE191" s="110">
        <f t="shared" si="95"/>
        <v>0</v>
      </c>
      <c r="AF191" s="110">
        <f>IF('Simulador CH BX+'!$D$18="Monto de crédito",$F$11*$F$15,AA191*$F$15)</f>
        <v>0</v>
      </c>
      <c r="AG191" s="110">
        <f>IF('Simulador CH BX+'!$D$17="Valor Destructible",IF(M191&gt;$F$8,0,$F$20),IF(M191&gt;$F$8,0,MAX(AA191,$F$10)*$F$19))</f>
        <v>0</v>
      </c>
      <c r="AH191" s="110">
        <f t="shared" si="68"/>
        <v>299</v>
      </c>
      <c r="AI191" s="110">
        <f t="shared" si="69"/>
        <v>299</v>
      </c>
      <c r="AJ191" s="361">
        <f t="shared" si="70"/>
        <v>299</v>
      </c>
    </row>
    <row r="192" spans="1:36" s="6" customFormat="1" ht="13.5" customHeight="1" x14ac:dyDescent="0.25">
      <c r="A192" s="11"/>
      <c r="B192" s="11"/>
      <c r="C192" s="11"/>
      <c r="D192" s="11"/>
      <c r="E192" s="10"/>
      <c r="F192" s="10"/>
      <c r="G192" s="10"/>
      <c r="H192" s="11"/>
      <c r="I192" s="11"/>
      <c r="J192" s="10"/>
      <c r="K192" s="10"/>
      <c r="L192" s="11"/>
      <c r="M192" s="360">
        <f t="shared" si="92"/>
        <v>187</v>
      </c>
      <c r="N192" s="111">
        <f t="shared" si="84"/>
        <v>9.6500000000000002E-2</v>
      </c>
      <c r="O192" s="119">
        <f t="shared" si="85"/>
        <v>0</v>
      </c>
      <c r="P192" s="110">
        <f t="shared" si="86"/>
        <v>0</v>
      </c>
      <c r="Q192" s="110">
        <f t="shared" si="87"/>
        <v>0</v>
      </c>
      <c r="R192" s="110">
        <f t="shared" si="88"/>
        <v>0</v>
      </c>
      <c r="S192" s="110">
        <f t="shared" si="89"/>
        <v>0</v>
      </c>
      <c r="T192" s="110"/>
      <c r="U192" s="110">
        <f>IF('Simulador CH BX+'!$D$18="Monto de crédito",$F$11*$F$15,O192*$F$15)</f>
        <v>0</v>
      </c>
      <c r="V192" s="110">
        <f>IF('Simulador CH BX+'!$D$17="Valor Destructible",IF(O192-$F$18&lt;0,0,$F$18),IF(M192&gt;$F$8,0,MAX(O192,$F$10)*$F$17))</f>
        <v>0</v>
      </c>
      <c r="W192" s="110">
        <f t="shared" si="90"/>
        <v>0</v>
      </c>
      <c r="X192" s="110">
        <f t="shared" si="91"/>
        <v>0</v>
      </c>
      <c r="Y192" s="361">
        <f>'Simulador CH BX+'!M225</f>
        <v>0</v>
      </c>
      <c r="Z192" s="11"/>
      <c r="AA192" s="151">
        <f t="shared" si="71"/>
        <v>0</v>
      </c>
      <c r="AB192" s="110">
        <f t="shared" si="93"/>
        <v>0</v>
      </c>
      <c r="AC192" s="110">
        <f t="shared" si="94"/>
        <v>0</v>
      </c>
      <c r="AD192" s="110">
        <f t="shared" si="66"/>
        <v>0</v>
      </c>
      <c r="AE192" s="110">
        <f t="shared" si="95"/>
        <v>0</v>
      </c>
      <c r="AF192" s="110">
        <f>IF('Simulador CH BX+'!$D$18="Monto de crédito",$F$11*$F$15,AA192*$F$15)</f>
        <v>0</v>
      </c>
      <c r="AG192" s="110">
        <f>IF('Simulador CH BX+'!$D$17="Valor Destructible",IF(M192&gt;$F$8,0,$F$20),IF(M192&gt;$F$8,0,MAX(AA192,$F$10)*$F$19))</f>
        <v>0</v>
      </c>
      <c r="AH192" s="110">
        <f t="shared" si="68"/>
        <v>299</v>
      </c>
      <c r="AI192" s="110">
        <f t="shared" si="69"/>
        <v>299</v>
      </c>
      <c r="AJ192" s="361">
        <f t="shared" si="70"/>
        <v>299</v>
      </c>
    </row>
    <row r="193" spans="1:36" s="6" customFormat="1" ht="13.5" customHeight="1" x14ac:dyDescent="0.25">
      <c r="A193" s="11"/>
      <c r="B193" s="11"/>
      <c r="C193" s="11"/>
      <c r="D193" s="11"/>
      <c r="E193" s="10"/>
      <c r="F193" s="10"/>
      <c r="G193" s="10"/>
      <c r="H193" s="11"/>
      <c r="I193" s="10"/>
      <c r="J193" s="10"/>
      <c r="K193" s="10"/>
      <c r="L193" s="11"/>
      <c r="M193" s="360">
        <f t="shared" si="92"/>
        <v>188</v>
      </c>
      <c r="N193" s="111">
        <f t="shared" si="84"/>
        <v>9.6500000000000002E-2</v>
      </c>
      <c r="O193" s="119">
        <f t="shared" si="85"/>
        <v>0</v>
      </c>
      <c r="P193" s="110">
        <f t="shared" si="86"/>
        <v>0</v>
      </c>
      <c r="Q193" s="110">
        <f t="shared" si="87"/>
        <v>0</v>
      </c>
      <c r="R193" s="110">
        <f t="shared" si="88"/>
        <v>0</v>
      </c>
      <c r="S193" s="110">
        <f t="shared" si="89"/>
        <v>0</v>
      </c>
      <c r="T193" s="110"/>
      <c r="U193" s="110">
        <f>IF('Simulador CH BX+'!$D$18="Monto de crédito",$F$11*$F$15,O193*$F$15)</f>
        <v>0</v>
      </c>
      <c r="V193" s="110">
        <f>IF('Simulador CH BX+'!$D$17="Valor Destructible",IF(O193-$F$18&lt;0,0,$F$18),IF(M193&gt;$F$8,0,MAX(O193,$F$10)*$F$17))</f>
        <v>0</v>
      </c>
      <c r="W193" s="110">
        <f t="shared" si="90"/>
        <v>0</v>
      </c>
      <c r="X193" s="110">
        <f t="shared" si="91"/>
        <v>0</v>
      </c>
      <c r="Y193" s="361">
        <f>'Simulador CH BX+'!M226</f>
        <v>0</v>
      </c>
      <c r="Z193" s="11"/>
      <c r="AA193" s="151">
        <f t="shared" si="71"/>
        <v>0</v>
      </c>
      <c r="AB193" s="110">
        <f t="shared" si="93"/>
        <v>0</v>
      </c>
      <c r="AC193" s="110">
        <f t="shared" si="94"/>
        <v>0</v>
      </c>
      <c r="AD193" s="110">
        <f t="shared" si="66"/>
        <v>0</v>
      </c>
      <c r="AE193" s="110">
        <f t="shared" si="95"/>
        <v>0</v>
      </c>
      <c r="AF193" s="110">
        <f>IF('Simulador CH BX+'!$D$18="Monto de crédito",$F$11*$F$15,AA193*$F$15)</f>
        <v>0</v>
      </c>
      <c r="AG193" s="110">
        <f>IF('Simulador CH BX+'!$D$17="Valor Destructible",IF(M193&gt;$F$8,0,$F$20),IF(M193&gt;$F$8,0,MAX(AA193,$F$10)*$F$19))</f>
        <v>0</v>
      </c>
      <c r="AH193" s="110">
        <f t="shared" si="68"/>
        <v>299</v>
      </c>
      <c r="AI193" s="110">
        <f t="shared" si="69"/>
        <v>299</v>
      </c>
      <c r="AJ193" s="361">
        <f t="shared" si="70"/>
        <v>299</v>
      </c>
    </row>
    <row r="194" spans="1:36" s="6" customFormat="1" ht="13.5" customHeight="1" x14ac:dyDescent="0.25">
      <c r="A194" s="11"/>
      <c r="B194" s="11"/>
      <c r="C194" s="11"/>
      <c r="D194" s="11"/>
      <c r="E194" s="10"/>
      <c r="F194" s="10"/>
      <c r="G194" s="10"/>
      <c r="H194" s="10"/>
      <c r="I194" s="10"/>
      <c r="J194" s="10"/>
      <c r="K194" s="10"/>
      <c r="L194" s="11"/>
      <c r="M194" s="360">
        <f t="shared" si="92"/>
        <v>189</v>
      </c>
      <c r="N194" s="111">
        <f t="shared" si="84"/>
        <v>9.6500000000000002E-2</v>
      </c>
      <c r="O194" s="119">
        <f t="shared" si="85"/>
        <v>0</v>
      </c>
      <c r="P194" s="110">
        <f t="shared" si="86"/>
        <v>0</v>
      </c>
      <c r="Q194" s="110">
        <f t="shared" si="87"/>
        <v>0</v>
      </c>
      <c r="R194" s="110">
        <f t="shared" si="88"/>
        <v>0</v>
      </c>
      <c r="S194" s="110">
        <f t="shared" si="89"/>
        <v>0</v>
      </c>
      <c r="T194" s="110"/>
      <c r="U194" s="110">
        <f>IF('Simulador CH BX+'!$D$18="Monto de crédito",$F$11*$F$15,O194*$F$15)</f>
        <v>0</v>
      </c>
      <c r="V194" s="110">
        <f>IF('Simulador CH BX+'!$D$17="Valor Destructible",IF(O194-$F$18&lt;0,0,$F$18),IF(M194&gt;$F$8,0,MAX(O194,$F$10)*$F$17))</f>
        <v>0</v>
      </c>
      <c r="W194" s="110">
        <f t="shared" si="90"/>
        <v>0</v>
      </c>
      <c r="X194" s="110">
        <f t="shared" si="91"/>
        <v>0</v>
      </c>
      <c r="Y194" s="361">
        <f>'Simulador CH BX+'!M227</f>
        <v>0</v>
      </c>
      <c r="Z194" s="11"/>
      <c r="AA194" s="151">
        <f t="shared" si="71"/>
        <v>0</v>
      </c>
      <c r="AB194" s="110">
        <f t="shared" si="93"/>
        <v>0</v>
      </c>
      <c r="AC194" s="110">
        <f t="shared" si="94"/>
        <v>0</v>
      </c>
      <c r="AD194" s="110">
        <f t="shared" si="66"/>
        <v>0</v>
      </c>
      <c r="AE194" s="110">
        <f t="shared" si="95"/>
        <v>0</v>
      </c>
      <c r="AF194" s="110">
        <f>IF('Simulador CH BX+'!$D$18="Monto de crédito",$F$11*$F$15,AA194*$F$15)</f>
        <v>0</v>
      </c>
      <c r="AG194" s="110">
        <f>IF('Simulador CH BX+'!$D$17="Valor Destructible",IF(M194&gt;$F$8,0,$F$20),IF(M194&gt;$F$8,0,MAX(AA194,$F$10)*$F$19))</f>
        <v>0</v>
      </c>
      <c r="AH194" s="110">
        <f t="shared" si="68"/>
        <v>299</v>
      </c>
      <c r="AI194" s="110">
        <f t="shared" si="69"/>
        <v>299</v>
      </c>
      <c r="AJ194" s="361">
        <f t="shared" si="70"/>
        <v>299</v>
      </c>
    </row>
    <row r="195" spans="1:36" s="6" customFormat="1" ht="13.5" customHeight="1" x14ac:dyDescent="0.25">
      <c r="A195" s="11"/>
      <c r="B195" s="11"/>
      <c r="C195" s="11"/>
      <c r="D195" s="11"/>
      <c r="E195" s="10"/>
      <c r="F195" s="10"/>
      <c r="G195" s="10"/>
      <c r="H195" s="10"/>
      <c r="I195" s="10"/>
      <c r="J195" s="10"/>
      <c r="K195" s="10"/>
      <c r="L195" s="11"/>
      <c r="M195" s="360">
        <f t="shared" si="92"/>
        <v>190</v>
      </c>
      <c r="N195" s="111">
        <f t="shared" si="84"/>
        <v>9.6500000000000002E-2</v>
      </c>
      <c r="O195" s="119">
        <f t="shared" si="85"/>
        <v>0</v>
      </c>
      <c r="P195" s="110">
        <f t="shared" si="86"/>
        <v>0</v>
      </c>
      <c r="Q195" s="110">
        <f t="shared" si="87"/>
        <v>0</v>
      </c>
      <c r="R195" s="110">
        <f t="shared" si="88"/>
        <v>0</v>
      </c>
      <c r="S195" s="110">
        <f t="shared" si="89"/>
        <v>0</v>
      </c>
      <c r="T195" s="110"/>
      <c r="U195" s="110">
        <f>IF('Simulador CH BX+'!$D$18="Monto de crédito",$F$11*$F$15,O195*$F$15)</f>
        <v>0</v>
      </c>
      <c r="V195" s="110">
        <f>IF('Simulador CH BX+'!$D$17="Valor Destructible",IF(O195-$F$18&lt;0,0,$F$18),IF(M195&gt;$F$8,0,MAX(O195,$F$10)*$F$17))</f>
        <v>0</v>
      </c>
      <c r="W195" s="110">
        <f t="shared" si="90"/>
        <v>0</v>
      </c>
      <c r="X195" s="110">
        <f t="shared" si="91"/>
        <v>0</v>
      </c>
      <c r="Y195" s="361">
        <f>'Simulador CH BX+'!M228</f>
        <v>0</v>
      </c>
      <c r="Z195" s="11"/>
      <c r="AA195" s="151">
        <f t="shared" si="71"/>
        <v>0</v>
      </c>
      <c r="AB195" s="110">
        <f t="shared" si="93"/>
        <v>0</v>
      </c>
      <c r="AC195" s="110">
        <f t="shared" si="94"/>
        <v>0</v>
      </c>
      <c r="AD195" s="110">
        <f t="shared" si="66"/>
        <v>0</v>
      </c>
      <c r="AE195" s="110">
        <f t="shared" si="95"/>
        <v>0</v>
      </c>
      <c r="AF195" s="110">
        <f>IF('Simulador CH BX+'!$D$18="Monto de crédito",$F$11*$F$15,AA195*$F$15)</f>
        <v>0</v>
      </c>
      <c r="AG195" s="110">
        <f>IF('Simulador CH BX+'!$D$17="Valor Destructible",IF(M195&gt;$F$8,0,$F$20),IF(M195&gt;$F$8,0,MAX(AA195,$F$10)*$F$19))</f>
        <v>0</v>
      </c>
      <c r="AH195" s="110">
        <f t="shared" si="68"/>
        <v>299</v>
      </c>
      <c r="AI195" s="110">
        <f t="shared" si="69"/>
        <v>299</v>
      </c>
      <c r="AJ195" s="361">
        <f t="shared" si="70"/>
        <v>299</v>
      </c>
    </row>
    <row r="196" spans="1:36" s="6" customFormat="1" ht="13.5" customHeight="1" x14ac:dyDescent="0.25">
      <c r="A196" s="11"/>
      <c r="B196" s="11"/>
      <c r="C196" s="11"/>
      <c r="D196" s="11"/>
      <c r="E196" s="10"/>
      <c r="F196" s="10"/>
      <c r="G196" s="10"/>
      <c r="H196" s="10"/>
      <c r="I196" s="10"/>
      <c r="J196" s="10"/>
      <c r="K196" s="10"/>
      <c r="L196" s="11"/>
      <c r="M196" s="360">
        <f t="shared" si="92"/>
        <v>191</v>
      </c>
      <c r="N196" s="111">
        <f t="shared" si="84"/>
        <v>9.6500000000000002E-2</v>
      </c>
      <c r="O196" s="119">
        <f t="shared" si="85"/>
        <v>0</v>
      </c>
      <c r="P196" s="110">
        <f t="shared" si="86"/>
        <v>0</v>
      </c>
      <c r="Q196" s="110">
        <f t="shared" si="87"/>
        <v>0</v>
      </c>
      <c r="R196" s="110">
        <f t="shared" si="88"/>
        <v>0</v>
      </c>
      <c r="S196" s="110">
        <f t="shared" si="89"/>
        <v>0</v>
      </c>
      <c r="T196" s="110"/>
      <c r="U196" s="110">
        <f>IF('Simulador CH BX+'!$D$18="Monto de crédito",$F$11*$F$15,O196*$F$15)</f>
        <v>0</v>
      </c>
      <c r="V196" s="110">
        <f>IF('Simulador CH BX+'!$D$17="Valor Destructible",IF(O196-$F$18&lt;0,0,$F$18),IF(M196&gt;$F$8,0,MAX(O196,$F$10)*$F$17))</f>
        <v>0</v>
      </c>
      <c r="W196" s="110">
        <f t="shared" si="90"/>
        <v>0</v>
      </c>
      <c r="X196" s="110">
        <f t="shared" si="91"/>
        <v>0</v>
      </c>
      <c r="Y196" s="361">
        <f>'Simulador CH BX+'!M229</f>
        <v>0</v>
      </c>
      <c r="Z196" s="11"/>
      <c r="AA196" s="151">
        <f t="shared" si="71"/>
        <v>0</v>
      </c>
      <c r="AB196" s="110">
        <f t="shared" si="93"/>
        <v>0</v>
      </c>
      <c r="AC196" s="110">
        <f t="shared" si="94"/>
        <v>0</v>
      </c>
      <c r="AD196" s="110">
        <f t="shared" si="66"/>
        <v>0</v>
      </c>
      <c r="AE196" s="110">
        <f t="shared" si="95"/>
        <v>0</v>
      </c>
      <c r="AF196" s="110">
        <f>IF('Simulador CH BX+'!$D$18="Monto de crédito",$F$11*$F$15,AA196*$F$15)</f>
        <v>0</v>
      </c>
      <c r="AG196" s="110">
        <f>IF('Simulador CH BX+'!$D$17="Valor Destructible",IF(M196&gt;$F$8,0,$F$20),IF(M196&gt;$F$8,0,MAX(AA196,$F$10)*$F$19))</f>
        <v>0</v>
      </c>
      <c r="AH196" s="110">
        <f t="shared" si="68"/>
        <v>299</v>
      </c>
      <c r="AI196" s="110">
        <f t="shared" si="69"/>
        <v>299</v>
      </c>
      <c r="AJ196" s="361">
        <f t="shared" si="70"/>
        <v>299</v>
      </c>
    </row>
    <row r="197" spans="1:36" s="6" customFormat="1" ht="13.5" customHeight="1" x14ac:dyDescent="0.25">
      <c r="A197" s="11"/>
      <c r="B197" s="11"/>
      <c r="C197" s="11"/>
      <c r="D197" s="11"/>
      <c r="E197" s="10"/>
      <c r="F197" s="10"/>
      <c r="G197" s="10"/>
      <c r="H197" s="10"/>
      <c r="I197" s="10"/>
      <c r="J197" s="10"/>
      <c r="K197" s="10"/>
      <c r="L197" s="11"/>
      <c r="M197" s="103">
        <f t="shared" si="92"/>
        <v>192</v>
      </c>
      <c r="N197" s="104">
        <f t="shared" si="84"/>
        <v>9.6500000000000002E-2</v>
      </c>
      <c r="O197" s="105">
        <f t="shared" si="85"/>
        <v>0</v>
      </c>
      <c r="P197" s="106">
        <f t="shared" si="86"/>
        <v>0</v>
      </c>
      <c r="Q197" s="106">
        <f t="shared" si="87"/>
        <v>0</v>
      </c>
      <c r="R197" s="106">
        <f t="shared" si="88"/>
        <v>0</v>
      </c>
      <c r="S197" s="106">
        <f t="shared" si="89"/>
        <v>0</v>
      </c>
      <c r="T197" s="106"/>
      <c r="U197" s="106">
        <f>IF('Simulador CH BX+'!$D$18="Monto de crédito",$F$11*$F$15,O197*$F$15)</f>
        <v>0</v>
      </c>
      <c r="V197" s="106">
        <f>IF('Simulador CH BX+'!$D$17="Valor Destructible",IF(O197-$F$18&lt;0,0,$F$18),IF(M197&gt;$F$8,0,MAX(O197,$F$10)*$F$17))</f>
        <v>0</v>
      </c>
      <c r="W197" s="106">
        <f t="shared" si="90"/>
        <v>0</v>
      </c>
      <c r="X197" s="106">
        <f t="shared" si="91"/>
        <v>0</v>
      </c>
      <c r="Y197" s="107">
        <f>'Simulador CH BX+'!M230</f>
        <v>0</v>
      </c>
      <c r="Z197" s="11"/>
      <c r="AA197" s="150">
        <f t="shared" si="71"/>
        <v>0</v>
      </c>
      <c r="AB197" s="106">
        <f t="shared" si="93"/>
        <v>0</v>
      </c>
      <c r="AC197" s="106">
        <f t="shared" si="94"/>
        <v>0</v>
      </c>
      <c r="AD197" s="106">
        <f t="shared" si="66"/>
        <v>0</v>
      </c>
      <c r="AE197" s="106">
        <f t="shared" si="95"/>
        <v>0</v>
      </c>
      <c r="AF197" s="106">
        <f>IF('Simulador CH BX+'!$D$18="Monto de crédito",$F$11*$F$15,AA197*$F$15)</f>
        <v>0</v>
      </c>
      <c r="AG197" s="106">
        <f>IF('Simulador CH BX+'!$D$17="Valor Destructible",IF(M197&gt;$F$8,0,$F$20),IF(M197&gt;$F$8,0,MAX(AA197,$F$10)*$F$19))</f>
        <v>0</v>
      </c>
      <c r="AH197" s="106">
        <f t="shared" si="68"/>
        <v>299</v>
      </c>
      <c r="AI197" s="106">
        <f t="shared" si="69"/>
        <v>299</v>
      </c>
      <c r="AJ197" s="107">
        <f t="shared" si="70"/>
        <v>299</v>
      </c>
    </row>
    <row r="198" spans="1:36" s="6" customFormat="1" ht="13.5" customHeight="1" x14ac:dyDescent="0.25">
      <c r="A198" s="11"/>
      <c r="B198" s="11"/>
      <c r="C198" s="11"/>
      <c r="D198" s="11"/>
      <c r="E198" s="10"/>
      <c r="F198" s="10"/>
      <c r="G198" s="10"/>
      <c r="H198" s="10"/>
      <c r="I198" s="10"/>
      <c r="J198" s="10"/>
      <c r="K198" s="10"/>
      <c r="L198" s="11"/>
      <c r="M198" s="360">
        <f t="shared" si="92"/>
        <v>193</v>
      </c>
      <c r="N198" s="111">
        <f t="shared" si="84"/>
        <v>9.6500000000000002E-2</v>
      </c>
      <c r="O198" s="119">
        <f t="shared" si="85"/>
        <v>0</v>
      </c>
      <c r="P198" s="110">
        <f t="shared" si="86"/>
        <v>0</v>
      </c>
      <c r="Q198" s="110">
        <f t="shared" si="87"/>
        <v>0</v>
      </c>
      <c r="R198" s="110">
        <f t="shared" si="88"/>
        <v>0</v>
      </c>
      <c r="S198" s="110">
        <f t="shared" si="89"/>
        <v>0</v>
      </c>
      <c r="T198" s="110"/>
      <c r="U198" s="110">
        <f>IF('Simulador CH BX+'!$D$18="Monto de crédito",$F$11*$F$15,O198*$F$15)</f>
        <v>0</v>
      </c>
      <c r="V198" s="110">
        <f>IF('Simulador CH BX+'!$D$17="Valor Destructible",IF(O198-$F$18&lt;0,0,$F$18),IF(M198&gt;$F$8,0,MAX(O198,$F$10)*$F$17))</f>
        <v>0</v>
      </c>
      <c r="W198" s="110">
        <f t="shared" si="90"/>
        <v>0</v>
      </c>
      <c r="X198" s="110">
        <f t="shared" si="91"/>
        <v>0</v>
      </c>
      <c r="Y198" s="361">
        <f>'Simulador CH BX+'!M231</f>
        <v>0</v>
      </c>
      <c r="Z198" s="11"/>
      <c r="AA198" s="151">
        <f t="shared" si="71"/>
        <v>0</v>
      </c>
      <c r="AB198" s="110">
        <f t="shared" si="93"/>
        <v>0</v>
      </c>
      <c r="AC198" s="110">
        <f t="shared" si="94"/>
        <v>0</v>
      </c>
      <c r="AD198" s="110">
        <f t="shared" si="66"/>
        <v>0</v>
      </c>
      <c r="AE198" s="110">
        <f t="shared" si="95"/>
        <v>0</v>
      </c>
      <c r="AF198" s="110">
        <f>IF('Simulador CH BX+'!$D$18="Monto de crédito",$F$11*$F$15,AA198*$F$15)</f>
        <v>0</v>
      </c>
      <c r="AG198" s="110">
        <f>IF('Simulador CH BX+'!$D$17="Valor Destructible",IF(M198&gt;$F$8,0,$F$20),IF(M198&gt;$F$8,0,MAX(AA198,$F$10)*$F$19))</f>
        <v>0</v>
      </c>
      <c r="AH198" s="110">
        <f t="shared" si="68"/>
        <v>299</v>
      </c>
      <c r="AI198" s="110">
        <f t="shared" si="69"/>
        <v>299</v>
      </c>
      <c r="AJ198" s="361">
        <f t="shared" si="70"/>
        <v>299</v>
      </c>
    </row>
    <row r="199" spans="1:36" s="6" customFormat="1" ht="13.5" customHeight="1" x14ac:dyDescent="0.25">
      <c r="A199" s="11"/>
      <c r="B199" s="11"/>
      <c r="C199" s="11"/>
      <c r="D199" s="11"/>
      <c r="E199" s="10"/>
      <c r="F199" s="10"/>
      <c r="G199" s="10"/>
      <c r="H199" s="10"/>
      <c r="I199" s="10"/>
      <c r="J199" s="10"/>
      <c r="K199" s="10"/>
      <c r="L199" s="11"/>
      <c r="M199" s="360">
        <f t="shared" si="92"/>
        <v>194</v>
      </c>
      <c r="N199" s="111">
        <f t="shared" si="84"/>
        <v>9.6500000000000002E-2</v>
      </c>
      <c r="O199" s="119">
        <f t="shared" si="85"/>
        <v>0</v>
      </c>
      <c r="P199" s="110">
        <f t="shared" si="86"/>
        <v>0</v>
      </c>
      <c r="Q199" s="110">
        <f t="shared" si="87"/>
        <v>0</v>
      </c>
      <c r="R199" s="110">
        <f t="shared" si="88"/>
        <v>0</v>
      </c>
      <c r="S199" s="110">
        <f t="shared" si="89"/>
        <v>0</v>
      </c>
      <c r="T199" s="110"/>
      <c r="U199" s="110">
        <f>IF('Simulador CH BX+'!$D$18="Monto de crédito",$F$11*$F$15,O199*$F$15)</f>
        <v>0</v>
      </c>
      <c r="V199" s="110">
        <f>IF('Simulador CH BX+'!$D$17="Valor Destructible",IF(O199-$F$18&lt;0,0,$F$18),IF(M199&gt;$F$8,0,MAX(O199,$F$10)*$F$17))</f>
        <v>0</v>
      </c>
      <c r="W199" s="110">
        <f t="shared" si="90"/>
        <v>0</v>
      </c>
      <c r="X199" s="110">
        <f t="shared" si="91"/>
        <v>0</v>
      </c>
      <c r="Y199" s="361">
        <f>'Simulador CH BX+'!M232</f>
        <v>0</v>
      </c>
      <c r="Z199" s="11"/>
      <c r="AA199" s="151">
        <f t="shared" si="71"/>
        <v>0</v>
      </c>
      <c r="AB199" s="110">
        <f t="shared" si="93"/>
        <v>0</v>
      </c>
      <c r="AC199" s="110">
        <f t="shared" si="94"/>
        <v>0</v>
      </c>
      <c r="AD199" s="110">
        <f t="shared" ref="AD199:AD245" si="96">IF(M199&gt;$F$8,0,F$14)</f>
        <v>0</v>
      </c>
      <c r="AE199" s="110">
        <f t="shared" si="95"/>
        <v>0</v>
      </c>
      <c r="AF199" s="110">
        <f>IF('Simulador CH BX+'!$D$18="Monto de crédito",$F$11*$F$15,AA199*$F$15)</f>
        <v>0</v>
      </c>
      <c r="AG199" s="110">
        <f>IF('Simulador CH BX+'!$D$17="Valor Destructible",IF(M199&gt;$F$8,0,$F$20),IF(M199&gt;$F$8,0,MAX(AA199,$F$10)*$F$19))</f>
        <v>0</v>
      </c>
      <c r="AH199" s="110">
        <f t="shared" ref="AH199:AH245" si="97">IF(M199&gt;$F$8,0,F$21)</f>
        <v>299</v>
      </c>
      <c r="AI199" s="110">
        <f t="shared" ref="AI199:AI245" si="98">IF(M199&gt;$F$8,0,F$14+AH199)</f>
        <v>299</v>
      </c>
      <c r="AJ199" s="361">
        <f t="shared" ref="AJ199:AJ245" si="99">IF(M199&gt;$F$8,0,AC199+AB199+AF199+AG199+AH199)</f>
        <v>299</v>
      </c>
    </row>
    <row r="200" spans="1:36" s="6" customFormat="1" ht="13.5" customHeight="1" x14ac:dyDescent="0.25">
      <c r="A200" s="11"/>
      <c r="B200" s="11"/>
      <c r="C200" s="11"/>
      <c r="D200" s="11"/>
      <c r="E200" s="10"/>
      <c r="F200" s="10"/>
      <c r="G200" s="10"/>
      <c r="H200" s="10"/>
      <c r="I200" s="10"/>
      <c r="J200" s="10"/>
      <c r="K200" s="10"/>
      <c r="L200" s="11"/>
      <c r="M200" s="360">
        <f t="shared" si="92"/>
        <v>195</v>
      </c>
      <c r="N200" s="111">
        <f t="shared" si="84"/>
        <v>9.6500000000000002E-2</v>
      </c>
      <c r="O200" s="119">
        <f t="shared" si="85"/>
        <v>0</v>
      </c>
      <c r="P200" s="110">
        <f t="shared" si="86"/>
        <v>0</v>
      </c>
      <c r="Q200" s="110">
        <f t="shared" si="87"/>
        <v>0</v>
      </c>
      <c r="R200" s="110">
        <f t="shared" si="88"/>
        <v>0</v>
      </c>
      <c r="S200" s="110">
        <f t="shared" si="89"/>
        <v>0</v>
      </c>
      <c r="T200" s="110"/>
      <c r="U200" s="110">
        <f>IF('Simulador CH BX+'!$D$18="Monto de crédito",$F$11*$F$15,O200*$F$15)</f>
        <v>0</v>
      </c>
      <c r="V200" s="110">
        <f>IF('Simulador CH BX+'!$D$17="Valor Destructible",IF(O200-$F$18&lt;0,0,$F$18),IF(M200&gt;$F$8,0,MAX(O200,$F$10)*$F$17))</f>
        <v>0</v>
      </c>
      <c r="W200" s="110">
        <f t="shared" si="90"/>
        <v>0</v>
      </c>
      <c r="X200" s="110">
        <f t="shared" si="91"/>
        <v>0</v>
      </c>
      <c r="Y200" s="361">
        <f>'Simulador CH BX+'!M233</f>
        <v>0</v>
      </c>
      <c r="Z200" s="11"/>
      <c r="AA200" s="151">
        <f t="shared" ref="AA200:AA245" si="100">AA199-AC199</f>
        <v>0</v>
      </c>
      <c r="AB200" s="110">
        <f t="shared" si="93"/>
        <v>0</v>
      </c>
      <c r="AC200" s="110">
        <f t="shared" si="94"/>
        <v>0</v>
      </c>
      <c r="AD200" s="110">
        <f t="shared" si="96"/>
        <v>0</v>
      </c>
      <c r="AE200" s="110">
        <f t="shared" si="95"/>
        <v>0</v>
      </c>
      <c r="AF200" s="110">
        <f>IF('Simulador CH BX+'!$D$18="Monto de crédito",$F$11*$F$15,AA200*$F$15)</f>
        <v>0</v>
      </c>
      <c r="AG200" s="110">
        <f>IF('Simulador CH BX+'!$D$17="Valor Destructible",IF(M200&gt;$F$8,0,$F$20),IF(M200&gt;$F$8,0,MAX(AA200,$F$10)*$F$19))</f>
        <v>0</v>
      </c>
      <c r="AH200" s="110">
        <f t="shared" si="97"/>
        <v>299</v>
      </c>
      <c r="AI200" s="110">
        <f t="shared" si="98"/>
        <v>299</v>
      </c>
      <c r="AJ200" s="361">
        <f t="shared" si="99"/>
        <v>299</v>
      </c>
    </row>
    <row r="201" spans="1:36" s="6" customFormat="1" ht="13.5" customHeight="1" x14ac:dyDescent="0.25">
      <c r="A201" s="11"/>
      <c r="B201" s="11"/>
      <c r="C201" s="11"/>
      <c r="D201" s="11"/>
      <c r="E201" s="10"/>
      <c r="F201" s="10"/>
      <c r="G201" s="10"/>
      <c r="H201" s="10"/>
      <c r="I201" s="10"/>
      <c r="J201" s="10"/>
      <c r="K201" s="10"/>
      <c r="L201" s="11"/>
      <c r="M201" s="360">
        <f t="shared" si="92"/>
        <v>196</v>
      </c>
      <c r="N201" s="111">
        <f t="shared" si="84"/>
        <v>9.6500000000000002E-2</v>
      </c>
      <c r="O201" s="119">
        <f t="shared" si="85"/>
        <v>0</v>
      </c>
      <c r="P201" s="110">
        <f t="shared" si="86"/>
        <v>0</v>
      </c>
      <c r="Q201" s="110">
        <f t="shared" si="87"/>
        <v>0</v>
      </c>
      <c r="R201" s="110">
        <f t="shared" si="88"/>
        <v>0</v>
      </c>
      <c r="S201" s="110">
        <f t="shared" si="89"/>
        <v>0</v>
      </c>
      <c r="T201" s="110"/>
      <c r="U201" s="110">
        <f>IF('Simulador CH BX+'!$D$18="Monto de crédito",$F$11*$F$15,O201*$F$15)</f>
        <v>0</v>
      </c>
      <c r="V201" s="110">
        <f>IF('Simulador CH BX+'!$D$17="Valor Destructible",IF(O201-$F$18&lt;0,0,$F$18),IF(M201&gt;$F$8,0,MAX(O201,$F$10)*$F$17))</f>
        <v>0</v>
      </c>
      <c r="W201" s="110">
        <f t="shared" si="90"/>
        <v>0</v>
      </c>
      <c r="X201" s="110">
        <f t="shared" si="91"/>
        <v>0</v>
      </c>
      <c r="Y201" s="361">
        <f>'Simulador CH BX+'!M234</f>
        <v>0</v>
      </c>
      <c r="Z201" s="11"/>
      <c r="AA201" s="151">
        <f t="shared" si="100"/>
        <v>0</v>
      </c>
      <c r="AB201" s="110">
        <f t="shared" si="93"/>
        <v>0</v>
      </c>
      <c r="AC201" s="110">
        <f t="shared" si="94"/>
        <v>0</v>
      </c>
      <c r="AD201" s="110">
        <f t="shared" si="96"/>
        <v>0</v>
      </c>
      <c r="AE201" s="110">
        <f t="shared" si="95"/>
        <v>0</v>
      </c>
      <c r="AF201" s="110">
        <f>IF('Simulador CH BX+'!$D$18="Monto de crédito",$F$11*$F$15,AA201*$F$15)</f>
        <v>0</v>
      </c>
      <c r="AG201" s="110">
        <f>IF('Simulador CH BX+'!$D$17="Valor Destructible",IF(M201&gt;$F$8,0,$F$20),IF(M201&gt;$F$8,0,MAX(AA201,$F$10)*$F$19))</f>
        <v>0</v>
      </c>
      <c r="AH201" s="110">
        <f t="shared" si="97"/>
        <v>299</v>
      </c>
      <c r="AI201" s="110">
        <f t="shared" si="98"/>
        <v>299</v>
      </c>
      <c r="AJ201" s="361">
        <f t="shared" si="99"/>
        <v>299</v>
      </c>
    </row>
    <row r="202" spans="1:36" s="6" customFormat="1" ht="13.5" customHeight="1" x14ac:dyDescent="0.25">
      <c r="A202" s="11"/>
      <c r="B202" s="11"/>
      <c r="C202" s="11"/>
      <c r="D202" s="11"/>
      <c r="E202" s="10"/>
      <c r="F202" s="10"/>
      <c r="G202" s="10"/>
      <c r="H202" s="10"/>
      <c r="I202" s="10"/>
      <c r="J202" s="10"/>
      <c r="K202" s="10"/>
      <c r="L202" s="11"/>
      <c r="M202" s="360">
        <f t="shared" si="92"/>
        <v>197</v>
      </c>
      <c r="N202" s="111">
        <f t="shared" si="84"/>
        <v>9.6500000000000002E-2</v>
      </c>
      <c r="O202" s="119">
        <f t="shared" si="85"/>
        <v>0</v>
      </c>
      <c r="P202" s="110">
        <f t="shared" si="86"/>
        <v>0</v>
      </c>
      <c r="Q202" s="110">
        <f t="shared" si="87"/>
        <v>0</v>
      </c>
      <c r="R202" s="110">
        <f t="shared" si="88"/>
        <v>0</v>
      </c>
      <c r="S202" s="110">
        <f t="shared" si="89"/>
        <v>0</v>
      </c>
      <c r="T202" s="110"/>
      <c r="U202" s="110">
        <f>IF('Simulador CH BX+'!$D$18="Monto de crédito",$F$11*$F$15,O202*$F$15)</f>
        <v>0</v>
      </c>
      <c r="V202" s="110">
        <f>IF('Simulador CH BX+'!$D$17="Valor Destructible",IF(O202-$F$18&lt;0,0,$F$18),IF(M202&gt;$F$8,0,MAX(O202,$F$10)*$F$17))</f>
        <v>0</v>
      </c>
      <c r="W202" s="110">
        <f t="shared" si="90"/>
        <v>0</v>
      </c>
      <c r="X202" s="110">
        <f t="shared" si="91"/>
        <v>0</v>
      </c>
      <c r="Y202" s="361">
        <f>'Simulador CH BX+'!M235</f>
        <v>0</v>
      </c>
      <c r="Z202" s="11"/>
      <c r="AA202" s="151">
        <f t="shared" si="100"/>
        <v>0</v>
      </c>
      <c r="AB202" s="110">
        <f t="shared" si="93"/>
        <v>0</v>
      </c>
      <c r="AC202" s="110">
        <f t="shared" si="94"/>
        <v>0</v>
      </c>
      <c r="AD202" s="110">
        <f t="shared" si="96"/>
        <v>0</v>
      </c>
      <c r="AE202" s="110">
        <f t="shared" si="95"/>
        <v>0</v>
      </c>
      <c r="AF202" s="110">
        <f>IF('Simulador CH BX+'!$D$18="Monto de crédito",$F$11*$F$15,AA202*$F$15)</f>
        <v>0</v>
      </c>
      <c r="AG202" s="110">
        <f>IF('Simulador CH BX+'!$D$17="Valor Destructible",IF(M202&gt;$F$8,0,$F$20),IF(M202&gt;$F$8,0,MAX(AA202,$F$10)*$F$19))</f>
        <v>0</v>
      </c>
      <c r="AH202" s="110">
        <f t="shared" si="97"/>
        <v>299</v>
      </c>
      <c r="AI202" s="110">
        <f t="shared" si="98"/>
        <v>299</v>
      </c>
      <c r="AJ202" s="361">
        <f t="shared" si="99"/>
        <v>299</v>
      </c>
    </row>
    <row r="203" spans="1:36" s="6" customFormat="1" ht="13.5" customHeight="1" x14ac:dyDescent="0.25">
      <c r="A203" s="11"/>
      <c r="B203" s="11"/>
      <c r="C203" s="11"/>
      <c r="D203" s="11"/>
      <c r="E203" s="10"/>
      <c r="F203" s="10"/>
      <c r="G203" s="10"/>
      <c r="H203" s="10"/>
      <c r="I203" s="10"/>
      <c r="J203" s="10"/>
      <c r="K203" s="10"/>
      <c r="L203" s="11"/>
      <c r="M203" s="360">
        <f t="shared" si="92"/>
        <v>198</v>
      </c>
      <c r="N203" s="111">
        <f t="shared" si="84"/>
        <v>9.6500000000000002E-2</v>
      </c>
      <c r="O203" s="119">
        <f t="shared" si="85"/>
        <v>0</v>
      </c>
      <c r="P203" s="110">
        <f t="shared" si="86"/>
        <v>0</v>
      </c>
      <c r="Q203" s="110">
        <f t="shared" si="87"/>
        <v>0</v>
      </c>
      <c r="R203" s="110">
        <f t="shared" si="88"/>
        <v>0</v>
      </c>
      <c r="S203" s="110">
        <f t="shared" si="89"/>
        <v>0</v>
      </c>
      <c r="T203" s="110"/>
      <c r="U203" s="110">
        <f>IF('Simulador CH BX+'!$D$18="Monto de crédito",$F$11*$F$15,O203*$F$15)</f>
        <v>0</v>
      </c>
      <c r="V203" s="110">
        <f>IF('Simulador CH BX+'!$D$17="Valor Destructible",IF(O203-$F$18&lt;0,0,$F$18),IF(M203&gt;$F$8,0,MAX(O203,$F$10)*$F$17))</f>
        <v>0</v>
      </c>
      <c r="W203" s="110">
        <f t="shared" si="90"/>
        <v>0</v>
      </c>
      <c r="X203" s="110">
        <f t="shared" si="91"/>
        <v>0</v>
      </c>
      <c r="Y203" s="361">
        <f>'Simulador CH BX+'!M236</f>
        <v>0</v>
      </c>
      <c r="Z203" s="11"/>
      <c r="AA203" s="151">
        <f t="shared" si="100"/>
        <v>0</v>
      </c>
      <c r="AB203" s="110">
        <f t="shared" si="93"/>
        <v>0</v>
      </c>
      <c r="AC203" s="110">
        <f t="shared" si="94"/>
        <v>0</v>
      </c>
      <c r="AD203" s="110">
        <f t="shared" si="96"/>
        <v>0</v>
      </c>
      <c r="AE203" s="110">
        <f t="shared" si="95"/>
        <v>0</v>
      </c>
      <c r="AF203" s="110">
        <f>IF('Simulador CH BX+'!$D$18="Monto de crédito",$F$11*$F$15,AA203*$F$15)</f>
        <v>0</v>
      </c>
      <c r="AG203" s="110">
        <f>IF('Simulador CH BX+'!$D$17="Valor Destructible",IF(M203&gt;$F$8,0,$F$20),IF(M203&gt;$F$8,0,MAX(AA203,$F$10)*$F$19))</f>
        <v>0</v>
      </c>
      <c r="AH203" s="110">
        <f t="shared" si="97"/>
        <v>299</v>
      </c>
      <c r="AI203" s="110">
        <f t="shared" si="98"/>
        <v>299</v>
      </c>
      <c r="AJ203" s="361">
        <f t="shared" si="99"/>
        <v>299</v>
      </c>
    </row>
    <row r="204" spans="1:36" s="6" customFormat="1" ht="13.5" customHeight="1" x14ac:dyDescent="0.25">
      <c r="A204" s="11"/>
      <c r="B204" s="11"/>
      <c r="C204" s="11"/>
      <c r="D204" s="11"/>
      <c r="E204" s="10"/>
      <c r="F204" s="10"/>
      <c r="G204" s="10"/>
      <c r="H204" s="10"/>
      <c r="I204" s="10"/>
      <c r="J204" s="10"/>
      <c r="K204" s="10"/>
      <c r="L204" s="11"/>
      <c r="M204" s="360">
        <f t="shared" si="92"/>
        <v>199</v>
      </c>
      <c r="N204" s="111">
        <f t="shared" si="84"/>
        <v>9.6500000000000002E-2</v>
      </c>
      <c r="O204" s="119">
        <f t="shared" si="85"/>
        <v>0</v>
      </c>
      <c r="P204" s="110">
        <f t="shared" si="86"/>
        <v>0</v>
      </c>
      <c r="Q204" s="110">
        <f t="shared" si="87"/>
        <v>0</v>
      </c>
      <c r="R204" s="110">
        <f t="shared" si="88"/>
        <v>0</v>
      </c>
      <c r="S204" s="110">
        <f t="shared" si="89"/>
        <v>0</v>
      </c>
      <c r="T204" s="110"/>
      <c r="U204" s="110">
        <f>IF('Simulador CH BX+'!$D$18="Monto de crédito",$F$11*$F$15,O204*$F$15)</f>
        <v>0</v>
      </c>
      <c r="V204" s="110">
        <f>IF('Simulador CH BX+'!$D$17="Valor Destructible",IF(O204-$F$18&lt;0,0,$F$18),IF(M204&gt;$F$8,0,MAX(O204,$F$10)*$F$17))</f>
        <v>0</v>
      </c>
      <c r="W204" s="110">
        <f t="shared" si="90"/>
        <v>0</v>
      </c>
      <c r="X204" s="110">
        <f t="shared" si="91"/>
        <v>0</v>
      </c>
      <c r="Y204" s="361">
        <f>'Simulador CH BX+'!M237</f>
        <v>0</v>
      </c>
      <c r="Z204" s="11"/>
      <c r="AA204" s="151">
        <f t="shared" si="100"/>
        <v>0</v>
      </c>
      <c r="AB204" s="110">
        <f t="shared" si="93"/>
        <v>0</v>
      </c>
      <c r="AC204" s="110">
        <f t="shared" si="94"/>
        <v>0</v>
      </c>
      <c r="AD204" s="110">
        <f t="shared" si="96"/>
        <v>0</v>
      </c>
      <c r="AE204" s="110">
        <f t="shared" si="95"/>
        <v>0</v>
      </c>
      <c r="AF204" s="110">
        <f>IF('Simulador CH BX+'!$D$18="Monto de crédito",$F$11*$F$15,AA204*$F$15)</f>
        <v>0</v>
      </c>
      <c r="AG204" s="110">
        <f>IF('Simulador CH BX+'!$D$17="Valor Destructible",IF(M204&gt;$F$8,0,$F$20),IF(M204&gt;$F$8,0,MAX(AA204,$F$10)*$F$19))</f>
        <v>0</v>
      </c>
      <c r="AH204" s="110">
        <f t="shared" si="97"/>
        <v>299</v>
      </c>
      <c r="AI204" s="110">
        <f t="shared" si="98"/>
        <v>299</v>
      </c>
      <c r="AJ204" s="361">
        <f t="shared" si="99"/>
        <v>299</v>
      </c>
    </row>
    <row r="205" spans="1:36" s="6" customFormat="1" ht="13.5" customHeight="1" x14ac:dyDescent="0.25">
      <c r="A205" s="11"/>
      <c r="B205" s="11"/>
      <c r="C205" s="11"/>
      <c r="D205" s="11"/>
      <c r="E205" s="10"/>
      <c r="F205" s="10"/>
      <c r="G205" s="10"/>
      <c r="H205" s="10"/>
      <c r="I205" s="10"/>
      <c r="J205" s="10"/>
      <c r="K205" s="10"/>
      <c r="L205" s="11"/>
      <c r="M205" s="360">
        <f t="shared" si="92"/>
        <v>200</v>
      </c>
      <c r="N205" s="111">
        <f t="shared" si="84"/>
        <v>9.6500000000000002E-2</v>
      </c>
      <c r="O205" s="119">
        <f t="shared" si="85"/>
        <v>0</v>
      </c>
      <c r="P205" s="110">
        <f t="shared" si="86"/>
        <v>0</v>
      </c>
      <c r="Q205" s="110">
        <f t="shared" si="87"/>
        <v>0</v>
      </c>
      <c r="R205" s="110">
        <f t="shared" si="88"/>
        <v>0</v>
      </c>
      <c r="S205" s="110">
        <f t="shared" si="89"/>
        <v>0</v>
      </c>
      <c r="T205" s="110"/>
      <c r="U205" s="110">
        <f>IF('Simulador CH BX+'!$D$18="Monto de crédito",$F$11*$F$15,O205*$F$15)</f>
        <v>0</v>
      </c>
      <c r="V205" s="110">
        <f>IF('Simulador CH BX+'!$D$17="Valor Destructible",IF(O205-$F$18&lt;0,0,$F$18),IF(M205&gt;$F$8,0,MAX(O205,$F$10)*$F$17))</f>
        <v>0</v>
      </c>
      <c r="W205" s="110">
        <f t="shared" si="90"/>
        <v>0</v>
      </c>
      <c r="X205" s="110">
        <f t="shared" si="91"/>
        <v>0</v>
      </c>
      <c r="Y205" s="361">
        <f>'Simulador CH BX+'!M238</f>
        <v>0</v>
      </c>
      <c r="Z205" s="11"/>
      <c r="AA205" s="151">
        <f t="shared" si="100"/>
        <v>0</v>
      </c>
      <c r="AB205" s="110">
        <f t="shared" si="93"/>
        <v>0</v>
      </c>
      <c r="AC205" s="110">
        <f t="shared" si="94"/>
        <v>0</v>
      </c>
      <c r="AD205" s="110">
        <f t="shared" si="96"/>
        <v>0</v>
      </c>
      <c r="AE205" s="110">
        <f t="shared" si="95"/>
        <v>0</v>
      </c>
      <c r="AF205" s="110">
        <f>IF('Simulador CH BX+'!$D$18="Monto de crédito",$F$11*$F$15,AA205*$F$15)</f>
        <v>0</v>
      </c>
      <c r="AG205" s="110">
        <f>IF('Simulador CH BX+'!$D$17="Valor Destructible",IF(M205&gt;$F$8,0,$F$20),IF(M205&gt;$F$8,0,MAX(AA205,$F$10)*$F$19))</f>
        <v>0</v>
      </c>
      <c r="AH205" s="110">
        <f t="shared" si="97"/>
        <v>299</v>
      </c>
      <c r="AI205" s="110">
        <f t="shared" si="98"/>
        <v>299</v>
      </c>
      <c r="AJ205" s="361">
        <f t="shared" si="99"/>
        <v>299</v>
      </c>
    </row>
    <row r="206" spans="1:36" s="6" customFormat="1" ht="13.5" customHeight="1" x14ac:dyDescent="0.25">
      <c r="A206" s="11"/>
      <c r="B206" s="11"/>
      <c r="C206" s="11"/>
      <c r="D206" s="11"/>
      <c r="E206" s="10"/>
      <c r="F206" s="10"/>
      <c r="G206" s="10"/>
      <c r="H206" s="10"/>
      <c r="I206" s="10"/>
      <c r="J206" s="10"/>
      <c r="K206" s="10"/>
      <c r="L206" s="11"/>
      <c r="M206" s="360">
        <f t="shared" si="92"/>
        <v>201</v>
      </c>
      <c r="N206" s="111">
        <f t="shared" si="84"/>
        <v>9.6500000000000002E-2</v>
      </c>
      <c r="O206" s="119">
        <f t="shared" si="85"/>
        <v>0</v>
      </c>
      <c r="P206" s="110">
        <f t="shared" si="86"/>
        <v>0</v>
      </c>
      <c r="Q206" s="110">
        <f t="shared" si="87"/>
        <v>0</v>
      </c>
      <c r="R206" s="110">
        <f t="shared" si="88"/>
        <v>0</v>
      </c>
      <c r="S206" s="110">
        <f t="shared" si="89"/>
        <v>0</v>
      </c>
      <c r="T206" s="110"/>
      <c r="U206" s="110">
        <f>IF('Simulador CH BX+'!$D$18="Monto de crédito",$F$11*$F$15,O206*$F$15)</f>
        <v>0</v>
      </c>
      <c r="V206" s="110">
        <f>IF('Simulador CH BX+'!$D$17="Valor Destructible",IF(O206-$F$18&lt;0,0,$F$18),IF(M206&gt;$F$8,0,MAX(O206,$F$10)*$F$17))</f>
        <v>0</v>
      </c>
      <c r="W206" s="110">
        <f t="shared" si="90"/>
        <v>0</v>
      </c>
      <c r="X206" s="110">
        <f t="shared" si="91"/>
        <v>0</v>
      </c>
      <c r="Y206" s="361">
        <f>'Simulador CH BX+'!M239</f>
        <v>0</v>
      </c>
      <c r="Z206" s="11"/>
      <c r="AA206" s="151">
        <f t="shared" si="100"/>
        <v>0</v>
      </c>
      <c r="AB206" s="110">
        <f t="shared" si="93"/>
        <v>0</v>
      </c>
      <c r="AC206" s="110">
        <f t="shared" si="94"/>
        <v>0</v>
      </c>
      <c r="AD206" s="110">
        <f t="shared" si="96"/>
        <v>0</v>
      </c>
      <c r="AE206" s="110">
        <f t="shared" si="95"/>
        <v>0</v>
      </c>
      <c r="AF206" s="110">
        <f>IF('Simulador CH BX+'!$D$18="Monto de crédito",$F$11*$F$15,AA206*$F$15)</f>
        <v>0</v>
      </c>
      <c r="AG206" s="110">
        <f>IF('Simulador CH BX+'!$D$17="Valor Destructible",IF(M206&gt;$F$8,0,$F$20),IF(M206&gt;$F$8,0,MAX(AA206,$F$10)*$F$19))</f>
        <v>0</v>
      </c>
      <c r="AH206" s="110">
        <f t="shared" si="97"/>
        <v>299</v>
      </c>
      <c r="AI206" s="110">
        <f t="shared" si="98"/>
        <v>299</v>
      </c>
      <c r="AJ206" s="361">
        <f t="shared" si="99"/>
        <v>299</v>
      </c>
    </row>
    <row r="207" spans="1:36" s="6" customFormat="1" ht="13.5" customHeight="1" x14ac:dyDescent="0.25">
      <c r="A207" s="11"/>
      <c r="B207" s="11"/>
      <c r="C207" s="11"/>
      <c r="D207" s="11"/>
      <c r="E207" s="10"/>
      <c r="F207" s="10"/>
      <c r="G207" s="10"/>
      <c r="H207" s="10"/>
      <c r="I207" s="10"/>
      <c r="J207" s="10"/>
      <c r="K207" s="10"/>
      <c r="L207" s="11"/>
      <c r="M207" s="360">
        <f t="shared" si="92"/>
        <v>202</v>
      </c>
      <c r="N207" s="111">
        <f t="shared" si="84"/>
        <v>9.6500000000000002E-2</v>
      </c>
      <c r="O207" s="119">
        <f t="shared" si="85"/>
        <v>0</v>
      </c>
      <c r="P207" s="110">
        <f t="shared" si="86"/>
        <v>0</v>
      </c>
      <c r="Q207" s="110">
        <f t="shared" si="87"/>
        <v>0</v>
      </c>
      <c r="R207" s="110">
        <f t="shared" si="88"/>
        <v>0</v>
      </c>
      <c r="S207" s="110">
        <f t="shared" si="89"/>
        <v>0</v>
      </c>
      <c r="T207" s="110"/>
      <c r="U207" s="110">
        <f>IF('Simulador CH BX+'!$D$18="Monto de crédito",$F$11*$F$15,O207*$F$15)</f>
        <v>0</v>
      </c>
      <c r="V207" s="110">
        <f>IF('Simulador CH BX+'!$D$17="Valor Destructible",IF(O207-$F$18&lt;0,0,$F$18),IF(M207&gt;$F$8,0,MAX(O207,$F$10)*$F$17))</f>
        <v>0</v>
      </c>
      <c r="W207" s="110">
        <f t="shared" si="90"/>
        <v>0</v>
      </c>
      <c r="X207" s="110">
        <f t="shared" si="91"/>
        <v>0</v>
      </c>
      <c r="Y207" s="361">
        <f>'Simulador CH BX+'!M240</f>
        <v>0</v>
      </c>
      <c r="Z207" s="11"/>
      <c r="AA207" s="151">
        <f t="shared" si="100"/>
        <v>0</v>
      </c>
      <c r="AB207" s="110">
        <f t="shared" si="93"/>
        <v>0</v>
      </c>
      <c r="AC207" s="110">
        <f t="shared" si="94"/>
        <v>0</v>
      </c>
      <c r="AD207" s="110">
        <f t="shared" si="96"/>
        <v>0</v>
      </c>
      <c r="AE207" s="110">
        <f t="shared" si="95"/>
        <v>0</v>
      </c>
      <c r="AF207" s="110">
        <f>IF('Simulador CH BX+'!$D$18="Monto de crédito",$F$11*$F$15,AA207*$F$15)</f>
        <v>0</v>
      </c>
      <c r="AG207" s="110">
        <f>IF('Simulador CH BX+'!$D$17="Valor Destructible",IF(M207&gt;$F$8,0,$F$20),IF(M207&gt;$F$8,0,MAX(AA207,$F$10)*$F$19))</f>
        <v>0</v>
      </c>
      <c r="AH207" s="110">
        <f t="shared" si="97"/>
        <v>299</v>
      </c>
      <c r="AI207" s="110">
        <f t="shared" si="98"/>
        <v>299</v>
      </c>
      <c r="AJ207" s="361">
        <f t="shared" si="99"/>
        <v>299</v>
      </c>
    </row>
    <row r="208" spans="1:36" s="6" customFormat="1" ht="13.5" customHeight="1" x14ac:dyDescent="0.25">
      <c r="A208" s="11"/>
      <c r="B208" s="11"/>
      <c r="C208" s="11"/>
      <c r="D208" s="11"/>
      <c r="E208" s="10"/>
      <c r="F208" s="10"/>
      <c r="G208" s="10"/>
      <c r="H208" s="10"/>
      <c r="I208" s="10"/>
      <c r="J208" s="10"/>
      <c r="K208" s="10"/>
      <c r="L208" s="11"/>
      <c r="M208" s="360">
        <f t="shared" si="92"/>
        <v>203</v>
      </c>
      <c r="N208" s="111">
        <f t="shared" si="84"/>
        <v>9.6500000000000002E-2</v>
      </c>
      <c r="O208" s="119">
        <f t="shared" si="85"/>
        <v>0</v>
      </c>
      <c r="P208" s="110">
        <f t="shared" si="86"/>
        <v>0</v>
      </c>
      <c r="Q208" s="110">
        <f t="shared" si="87"/>
        <v>0</v>
      </c>
      <c r="R208" s="110">
        <f t="shared" si="88"/>
        <v>0</v>
      </c>
      <c r="S208" s="110">
        <f t="shared" si="89"/>
        <v>0</v>
      </c>
      <c r="T208" s="110"/>
      <c r="U208" s="110">
        <f>IF('Simulador CH BX+'!$D$18="Monto de crédito",$F$11*$F$15,O208*$F$15)</f>
        <v>0</v>
      </c>
      <c r="V208" s="110">
        <f>IF('Simulador CH BX+'!$D$17="Valor Destructible",IF(O208-$F$18&lt;0,0,$F$18),IF(M208&gt;$F$8,0,MAX(O208,$F$10)*$F$17))</f>
        <v>0</v>
      </c>
      <c r="W208" s="110">
        <f t="shared" si="90"/>
        <v>0</v>
      </c>
      <c r="X208" s="110">
        <f t="shared" si="91"/>
        <v>0</v>
      </c>
      <c r="Y208" s="361">
        <f>'Simulador CH BX+'!M241</f>
        <v>0</v>
      </c>
      <c r="Z208" s="11"/>
      <c r="AA208" s="151">
        <f t="shared" si="100"/>
        <v>0</v>
      </c>
      <c r="AB208" s="110">
        <f t="shared" si="93"/>
        <v>0</v>
      </c>
      <c r="AC208" s="110">
        <f t="shared" si="94"/>
        <v>0</v>
      </c>
      <c r="AD208" s="110">
        <f t="shared" si="96"/>
        <v>0</v>
      </c>
      <c r="AE208" s="110">
        <f t="shared" si="95"/>
        <v>0</v>
      </c>
      <c r="AF208" s="110">
        <f>IF('Simulador CH BX+'!$D$18="Monto de crédito",$F$11*$F$15,AA208*$F$15)</f>
        <v>0</v>
      </c>
      <c r="AG208" s="110">
        <f>IF('Simulador CH BX+'!$D$17="Valor Destructible",IF(M208&gt;$F$8,0,$F$20),IF(M208&gt;$F$8,0,MAX(AA208,$F$10)*$F$19))</f>
        <v>0</v>
      </c>
      <c r="AH208" s="110">
        <f t="shared" si="97"/>
        <v>299</v>
      </c>
      <c r="AI208" s="110">
        <f t="shared" si="98"/>
        <v>299</v>
      </c>
      <c r="AJ208" s="361">
        <f t="shared" si="99"/>
        <v>299</v>
      </c>
    </row>
    <row r="209" spans="1:36" s="6" customFormat="1" ht="13.5" customHeight="1" x14ac:dyDescent="0.25">
      <c r="A209" s="11"/>
      <c r="B209" s="11"/>
      <c r="C209" s="11"/>
      <c r="D209" s="11"/>
      <c r="E209" s="10"/>
      <c r="F209" s="10"/>
      <c r="G209" s="10"/>
      <c r="H209" s="10"/>
      <c r="I209" s="10"/>
      <c r="J209" s="10"/>
      <c r="K209" s="10"/>
      <c r="L209" s="11"/>
      <c r="M209" s="103">
        <f t="shared" si="92"/>
        <v>204</v>
      </c>
      <c r="N209" s="104">
        <f t="shared" si="84"/>
        <v>9.6500000000000002E-2</v>
      </c>
      <c r="O209" s="105">
        <f t="shared" si="85"/>
        <v>0</v>
      </c>
      <c r="P209" s="106">
        <f t="shared" si="86"/>
        <v>0</v>
      </c>
      <c r="Q209" s="106">
        <f t="shared" si="87"/>
        <v>0</v>
      </c>
      <c r="R209" s="106">
        <f t="shared" si="88"/>
        <v>0</v>
      </c>
      <c r="S209" s="106">
        <f t="shared" si="89"/>
        <v>0</v>
      </c>
      <c r="T209" s="106"/>
      <c r="U209" s="106">
        <f>IF('Simulador CH BX+'!$D$18="Monto de crédito",$F$11*$F$15,O209*$F$15)</f>
        <v>0</v>
      </c>
      <c r="V209" s="106">
        <f>IF('Simulador CH BX+'!$D$17="Valor Destructible",IF(O209-$F$18&lt;0,0,$F$18),IF(M209&gt;$F$8,0,MAX(O209,$F$10)*$F$17))</f>
        <v>0</v>
      </c>
      <c r="W209" s="106">
        <f t="shared" si="90"/>
        <v>0</v>
      </c>
      <c r="X209" s="106">
        <f t="shared" si="91"/>
        <v>0</v>
      </c>
      <c r="Y209" s="107">
        <f>'Simulador CH BX+'!M242</f>
        <v>0</v>
      </c>
      <c r="Z209" s="11"/>
      <c r="AA209" s="150">
        <f t="shared" si="100"/>
        <v>0</v>
      </c>
      <c r="AB209" s="106">
        <f t="shared" si="93"/>
        <v>0</v>
      </c>
      <c r="AC209" s="106">
        <f t="shared" si="94"/>
        <v>0</v>
      </c>
      <c r="AD209" s="106">
        <f t="shared" si="96"/>
        <v>0</v>
      </c>
      <c r="AE209" s="106">
        <f t="shared" si="95"/>
        <v>0</v>
      </c>
      <c r="AF209" s="106">
        <f>IF('Simulador CH BX+'!$D$18="Monto de crédito",$F$11*$F$15,AA209*$F$15)</f>
        <v>0</v>
      </c>
      <c r="AG209" s="106">
        <f>IF('Simulador CH BX+'!$D$17="Valor Destructible",IF(M209&gt;$F$8,0,$F$20),IF(M209&gt;$F$8,0,MAX(AA209,$F$10)*$F$19))</f>
        <v>0</v>
      </c>
      <c r="AH209" s="106">
        <f t="shared" si="97"/>
        <v>299</v>
      </c>
      <c r="AI209" s="106">
        <f t="shared" si="98"/>
        <v>299</v>
      </c>
      <c r="AJ209" s="107">
        <f t="shared" si="99"/>
        <v>299</v>
      </c>
    </row>
    <row r="210" spans="1:36" s="6" customFormat="1" ht="13.5" customHeight="1" x14ac:dyDescent="0.25">
      <c r="A210" s="11"/>
      <c r="B210" s="11"/>
      <c r="C210" s="11"/>
      <c r="D210" s="11"/>
      <c r="E210" s="10"/>
      <c r="F210" s="10"/>
      <c r="G210" s="10"/>
      <c r="H210" s="10"/>
      <c r="I210" s="10"/>
      <c r="J210" s="10"/>
      <c r="K210" s="10"/>
      <c r="L210" s="11"/>
      <c r="M210" s="360">
        <f t="shared" si="92"/>
        <v>205</v>
      </c>
      <c r="N210" s="111">
        <f t="shared" si="84"/>
        <v>9.6500000000000002E-2</v>
      </c>
      <c r="O210" s="119">
        <f t="shared" si="85"/>
        <v>0</v>
      </c>
      <c r="P210" s="110">
        <f t="shared" si="86"/>
        <v>0</v>
      </c>
      <c r="Q210" s="110">
        <f t="shared" si="87"/>
        <v>0</v>
      </c>
      <c r="R210" s="110">
        <f t="shared" si="88"/>
        <v>0</v>
      </c>
      <c r="S210" s="110">
        <f t="shared" si="89"/>
        <v>0</v>
      </c>
      <c r="T210" s="110"/>
      <c r="U210" s="110">
        <f>IF('Simulador CH BX+'!$D$18="Monto de crédito",$F$11*$F$15,O210*$F$15)</f>
        <v>0</v>
      </c>
      <c r="V210" s="110">
        <f>IF('Simulador CH BX+'!$D$17="Valor Destructible",IF(O210-$F$18&lt;0,0,$F$18),IF(M210&gt;$F$8,0,MAX(O210,$F$10)*$F$17))</f>
        <v>0</v>
      </c>
      <c r="W210" s="110">
        <f t="shared" si="90"/>
        <v>0</v>
      </c>
      <c r="X210" s="110">
        <f t="shared" si="91"/>
        <v>0</v>
      </c>
      <c r="Y210" s="361">
        <f>'Simulador CH BX+'!M243</f>
        <v>0</v>
      </c>
      <c r="Z210" s="11"/>
      <c r="AA210" s="151">
        <f t="shared" si="100"/>
        <v>0</v>
      </c>
      <c r="AB210" s="110">
        <f t="shared" si="93"/>
        <v>0</v>
      </c>
      <c r="AC210" s="110">
        <f t="shared" si="94"/>
        <v>0</v>
      </c>
      <c r="AD210" s="110">
        <f t="shared" si="96"/>
        <v>0</v>
      </c>
      <c r="AE210" s="110">
        <f t="shared" si="95"/>
        <v>0</v>
      </c>
      <c r="AF210" s="110">
        <f>IF('Simulador CH BX+'!$D$18="Monto de crédito",$F$11*$F$15,AA210*$F$15)</f>
        <v>0</v>
      </c>
      <c r="AG210" s="110">
        <f>IF('Simulador CH BX+'!$D$17="Valor Destructible",IF(M210&gt;$F$8,0,$F$20),IF(M210&gt;$F$8,0,MAX(AA210,$F$10)*$F$19))</f>
        <v>0</v>
      </c>
      <c r="AH210" s="110">
        <f t="shared" si="97"/>
        <v>299</v>
      </c>
      <c r="AI210" s="110">
        <f t="shared" si="98"/>
        <v>299</v>
      </c>
      <c r="AJ210" s="361">
        <f t="shared" si="99"/>
        <v>299</v>
      </c>
    </row>
    <row r="211" spans="1:36" s="6" customFormat="1" ht="13.5" customHeight="1" x14ac:dyDescent="0.25">
      <c r="A211" s="11"/>
      <c r="B211" s="11"/>
      <c r="C211" s="11"/>
      <c r="D211" s="11"/>
      <c r="E211" s="10"/>
      <c r="F211" s="10"/>
      <c r="G211" s="10"/>
      <c r="H211" s="10"/>
      <c r="I211" s="10"/>
      <c r="J211" s="10"/>
      <c r="K211" s="10"/>
      <c r="L211" s="11"/>
      <c r="M211" s="360">
        <f t="shared" si="92"/>
        <v>206</v>
      </c>
      <c r="N211" s="111">
        <f t="shared" si="84"/>
        <v>9.6500000000000002E-2</v>
      </c>
      <c r="O211" s="119">
        <f t="shared" si="85"/>
        <v>0</v>
      </c>
      <c r="P211" s="110">
        <f t="shared" si="86"/>
        <v>0</v>
      </c>
      <c r="Q211" s="110">
        <f t="shared" si="87"/>
        <v>0</v>
      </c>
      <c r="R211" s="110">
        <f t="shared" si="88"/>
        <v>0</v>
      </c>
      <c r="S211" s="110">
        <f t="shared" si="89"/>
        <v>0</v>
      </c>
      <c r="T211" s="110"/>
      <c r="U211" s="110">
        <f>IF('Simulador CH BX+'!$D$18="Monto de crédito",$F$11*$F$15,O211*$F$15)</f>
        <v>0</v>
      </c>
      <c r="V211" s="110">
        <f>IF('Simulador CH BX+'!$D$17="Valor Destructible",IF(O211-$F$18&lt;0,0,$F$18),IF(M211&gt;$F$8,0,MAX(O211,$F$10)*$F$17))</f>
        <v>0</v>
      </c>
      <c r="W211" s="110">
        <f t="shared" si="90"/>
        <v>0</v>
      </c>
      <c r="X211" s="110">
        <f t="shared" si="91"/>
        <v>0</v>
      </c>
      <c r="Y211" s="361">
        <f>'Simulador CH BX+'!M244</f>
        <v>0</v>
      </c>
      <c r="Z211" s="11"/>
      <c r="AA211" s="151">
        <f t="shared" si="100"/>
        <v>0</v>
      </c>
      <c r="AB211" s="110">
        <f t="shared" si="93"/>
        <v>0</v>
      </c>
      <c r="AC211" s="110">
        <f t="shared" si="94"/>
        <v>0</v>
      </c>
      <c r="AD211" s="110">
        <f t="shared" si="96"/>
        <v>0</v>
      </c>
      <c r="AE211" s="110">
        <f t="shared" si="95"/>
        <v>0</v>
      </c>
      <c r="AF211" s="110">
        <f>IF('Simulador CH BX+'!$D$18="Monto de crédito",$F$11*$F$15,AA211*$F$15)</f>
        <v>0</v>
      </c>
      <c r="AG211" s="110">
        <f>IF('Simulador CH BX+'!$D$17="Valor Destructible",IF(M211&gt;$F$8,0,$F$20),IF(M211&gt;$F$8,0,MAX(AA211,$F$10)*$F$19))</f>
        <v>0</v>
      </c>
      <c r="AH211" s="110">
        <f t="shared" si="97"/>
        <v>299</v>
      </c>
      <c r="AI211" s="110">
        <f t="shared" si="98"/>
        <v>299</v>
      </c>
      <c r="AJ211" s="361">
        <f t="shared" si="99"/>
        <v>299</v>
      </c>
    </row>
    <row r="212" spans="1:36" s="6" customFormat="1" ht="13.5" customHeight="1" x14ac:dyDescent="0.25">
      <c r="A212" s="11"/>
      <c r="B212" s="11"/>
      <c r="C212" s="11"/>
      <c r="D212" s="11"/>
      <c r="E212" s="10"/>
      <c r="F212" s="10"/>
      <c r="G212" s="10"/>
      <c r="H212" s="10"/>
      <c r="I212" s="10"/>
      <c r="J212" s="10"/>
      <c r="K212" s="10"/>
      <c r="L212" s="11"/>
      <c r="M212" s="360">
        <f t="shared" si="92"/>
        <v>207</v>
      </c>
      <c r="N212" s="111">
        <f t="shared" si="84"/>
        <v>9.6500000000000002E-2</v>
      </c>
      <c r="O212" s="119">
        <f t="shared" si="85"/>
        <v>0</v>
      </c>
      <c r="P212" s="110">
        <f t="shared" si="86"/>
        <v>0</v>
      </c>
      <c r="Q212" s="110">
        <f t="shared" si="87"/>
        <v>0</v>
      </c>
      <c r="R212" s="110">
        <f t="shared" si="88"/>
        <v>0</v>
      </c>
      <c r="S212" s="110">
        <f t="shared" si="89"/>
        <v>0</v>
      </c>
      <c r="T212" s="110"/>
      <c r="U212" s="110">
        <f>IF('Simulador CH BX+'!$D$18="Monto de crédito",$F$11*$F$15,O212*$F$15)</f>
        <v>0</v>
      </c>
      <c r="V212" s="110">
        <f>IF('Simulador CH BX+'!$D$17="Valor Destructible",IF(O212-$F$18&lt;0,0,$F$18),IF(M212&gt;$F$8,0,MAX(O212,$F$10)*$F$17))</f>
        <v>0</v>
      </c>
      <c r="W212" s="110">
        <f t="shared" si="90"/>
        <v>0</v>
      </c>
      <c r="X212" s="110">
        <f t="shared" si="91"/>
        <v>0</v>
      </c>
      <c r="Y212" s="361">
        <f>'Simulador CH BX+'!M245</f>
        <v>0</v>
      </c>
      <c r="Z212" s="11"/>
      <c r="AA212" s="151">
        <f t="shared" si="100"/>
        <v>0</v>
      </c>
      <c r="AB212" s="110">
        <f t="shared" si="93"/>
        <v>0</v>
      </c>
      <c r="AC212" s="110">
        <f t="shared" si="94"/>
        <v>0</v>
      </c>
      <c r="AD212" s="110">
        <f t="shared" si="96"/>
        <v>0</v>
      </c>
      <c r="AE212" s="110">
        <f t="shared" si="95"/>
        <v>0</v>
      </c>
      <c r="AF212" s="110">
        <f>IF('Simulador CH BX+'!$D$18="Monto de crédito",$F$11*$F$15,AA212*$F$15)</f>
        <v>0</v>
      </c>
      <c r="AG212" s="110">
        <f>IF('Simulador CH BX+'!$D$17="Valor Destructible",IF(M212&gt;$F$8,0,$F$20),IF(M212&gt;$F$8,0,MAX(AA212,$F$10)*$F$19))</f>
        <v>0</v>
      </c>
      <c r="AH212" s="110">
        <f t="shared" si="97"/>
        <v>299</v>
      </c>
      <c r="AI212" s="110">
        <f t="shared" si="98"/>
        <v>299</v>
      </c>
      <c r="AJ212" s="361">
        <f t="shared" si="99"/>
        <v>299</v>
      </c>
    </row>
    <row r="213" spans="1:36" s="6" customFormat="1" ht="13.5" customHeight="1" x14ac:dyDescent="0.25">
      <c r="A213" s="11"/>
      <c r="B213" s="11"/>
      <c r="C213" s="11"/>
      <c r="D213" s="11"/>
      <c r="E213" s="10"/>
      <c r="F213" s="10"/>
      <c r="G213" s="10"/>
      <c r="H213" s="10"/>
      <c r="I213" s="10"/>
      <c r="J213" s="10"/>
      <c r="K213" s="10"/>
      <c r="L213" s="11"/>
      <c r="M213" s="360">
        <f t="shared" si="92"/>
        <v>208</v>
      </c>
      <c r="N213" s="111">
        <f t="shared" si="84"/>
        <v>9.6500000000000002E-2</v>
      </c>
      <c r="O213" s="119">
        <f t="shared" si="85"/>
        <v>0</v>
      </c>
      <c r="P213" s="110">
        <f t="shared" si="86"/>
        <v>0</v>
      </c>
      <c r="Q213" s="110">
        <f t="shared" si="87"/>
        <v>0</v>
      </c>
      <c r="R213" s="110">
        <f t="shared" si="88"/>
        <v>0</v>
      </c>
      <c r="S213" s="110">
        <f t="shared" si="89"/>
        <v>0</v>
      </c>
      <c r="T213" s="110"/>
      <c r="U213" s="110">
        <f>IF('Simulador CH BX+'!$D$18="Monto de crédito",$F$11*$F$15,O213*$F$15)</f>
        <v>0</v>
      </c>
      <c r="V213" s="110">
        <f>IF('Simulador CH BX+'!$D$17="Valor Destructible",IF(O213-$F$18&lt;0,0,$F$18),IF(M213&gt;$F$8,0,MAX(O213,$F$10)*$F$17))</f>
        <v>0</v>
      </c>
      <c r="W213" s="110">
        <f t="shared" si="90"/>
        <v>0</v>
      </c>
      <c r="X213" s="110">
        <f t="shared" si="91"/>
        <v>0</v>
      </c>
      <c r="Y213" s="361">
        <f>'Simulador CH BX+'!M246</f>
        <v>0</v>
      </c>
      <c r="Z213" s="11"/>
      <c r="AA213" s="151">
        <f t="shared" si="100"/>
        <v>0</v>
      </c>
      <c r="AB213" s="110">
        <f t="shared" si="93"/>
        <v>0</v>
      </c>
      <c r="AC213" s="110">
        <f t="shared" si="94"/>
        <v>0</v>
      </c>
      <c r="AD213" s="110">
        <f t="shared" si="96"/>
        <v>0</v>
      </c>
      <c r="AE213" s="110">
        <f t="shared" si="95"/>
        <v>0</v>
      </c>
      <c r="AF213" s="110">
        <f>IF('Simulador CH BX+'!$D$18="Monto de crédito",$F$11*$F$15,AA213*$F$15)</f>
        <v>0</v>
      </c>
      <c r="AG213" s="110">
        <f>IF('Simulador CH BX+'!$D$17="Valor Destructible",IF(M213&gt;$F$8,0,$F$20),IF(M213&gt;$F$8,0,MAX(AA213,$F$10)*$F$19))</f>
        <v>0</v>
      </c>
      <c r="AH213" s="110">
        <f t="shared" si="97"/>
        <v>299</v>
      </c>
      <c r="AI213" s="110">
        <f t="shared" si="98"/>
        <v>299</v>
      </c>
      <c r="AJ213" s="361">
        <f t="shared" si="99"/>
        <v>299</v>
      </c>
    </row>
    <row r="214" spans="1:36" s="6" customFormat="1" ht="13.5" customHeight="1" x14ac:dyDescent="0.25">
      <c r="A214" s="11"/>
      <c r="B214" s="11"/>
      <c r="C214" s="11"/>
      <c r="D214" s="11"/>
      <c r="E214" s="10"/>
      <c r="F214" s="10"/>
      <c r="G214" s="10"/>
      <c r="H214" s="10"/>
      <c r="I214" s="10"/>
      <c r="J214" s="10"/>
      <c r="K214" s="10"/>
      <c r="L214" s="11"/>
      <c r="M214" s="360">
        <f t="shared" si="92"/>
        <v>209</v>
      </c>
      <c r="N214" s="111">
        <f t="shared" si="84"/>
        <v>9.6500000000000002E-2</v>
      </c>
      <c r="O214" s="119">
        <f t="shared" si="85"/>
        <v>0</v>
      </c>
      <c r="P214" s="110">
        <f t="shared" si="86"/>
        <v>0</v>
      </c>
      <c r="Q214" s="110">
        <f t="shared" si="87"/>
        <v>0</v>
      </c>
      <c r="R214" s="110">
        <f t="shared" si="88"/>
        <v>0</v>
      </c>
      <c r="S214" s="110">
        <f t="shared" si="89"/>
        <v>0</v>
      </c>
      <c r="T214" s="110"/>
      <c r="U214" s="110">
        <f>IF('Simulador CH BX+'!$D$18="Monto de crédito",$F$11*$F$15,O214*$F$15)</f>
        <v>0</v>
      </c>
      <c r="V214" s="110">
        <f>IF('Simulador CH BX+'!$D$17="Valor Destructible",IF(O214-$F$18&lt;0,0,$F$18),IF(M214&gt;$F$8,0,MAX(O214,$F$10)*$F$17))</f>
        <v>0</v>
      </c>
      <c r="W214" s="110">
        <f t="shared" si="90"/>
        <v>0</v>
      </c>
      <c r="X214" s="110">
        <f t="shared" si="91"/>
        <v>0</v>
      </c>
      <c r="Y214" s="361">
        <f>'Simulador CH BX+'!M247</f>
        <v>0</v>
      </c>
      <c r="Z214" s="11"/>
      <c r="AA214" s="151">
        <f t="shared" si="100"/>
        <v>0</v>
      </c>
      <c r="AB214" s="110">
        <f t="shared" si="93"/>
        <v>0</v>
      </c>
      <c r="AC214" s="110">
        <f t="shared" si="94"/>
        <v>0</v>
      </c>
      <c r="AD214" s="110">
        <f t="shared" si="96"/>
        <v>0</v>
      </c>
      <c r="AE214" s="110">
        <f t="shared" si="95"/>
        <v>0</v>
      </c>
      <c r="AF214" s="110">
        <f>IF('Simulador CH BX+'!$D$18="Monto de crédito",$F$11*$F$15,AA214*$F$15)</f>
        <v>0</v>
      </c>
      <c r="AG214" s="110">
        <f>IF('Simulador CH BX+'!$D$17="Valor Destructible",IF(M214&gt;$F$8,0,$F$20),IF(M214&gt;$F$8,0,MAX(AA214,$F$10)*$F$19))</f>
        <v>0</v>
      </c>
      <c r="AH214" s="110">
        <f t="shared" si="97"/>
        <v>299</v>
      </c>
      <c r="AI214" s="110">
        <f t="shared" si="98"/>
        <v>299</v>
      </c>
      <c r="AJ214" s="361">
        <f t="shared" si="99"/>
        <v>299</v>
      </c>
    </row>
    <row r="215" spans="1:36" s="6" customFormat="1" ht="13.5" customHeight="1" x14ac:dyDescent="0.25">
      <c r="A215" s="11"/>
      <c r="B215" s="11"/>
      <c r="C215" s="11"/>
      <c r="D215" s="11"/>
      <c r="E215" s="10"/>
      <c r="F215" s="10"/>
      <c r="G215" s="10"/>
      <c r="H215" s="10"/>
      <c r="I215" s="10"/>
      <c r="J215" s="10"/>
      <c r="K215" s="10"/>
      <c r="L215" s="11"/>
      <c r="M215" s="360">
        <f t="shared" si="92"/>
        <v>210</v>
      </c>
      <c r="N215" s="111">
        <f t="shared" si="84"/>
        <v>9.6500000000000002E-2</v>
      </c>
      <c r="O215" s="119">
        <f t="shared" si="85"/>
        <v>0</v>
      </c>
      <c r="P215" s="110">
        <f t="shared" si="86"/>
        <v>0</v>
      </c>
      <c r="Q215" s="110">
        <f t="shared" si="87"/>
        <v>0</v>
      </c>
      <c r="R215" s="110">
        <f t="shared" si="88"/>
        <v>0</v>
      </c>
      <c r="S215" s="110">
        <f t="shared" si="89"/>
        <v>0</v>
      </c>
      <c r="T215" s="110"/>
      <c r="U215" s="110">
        <f>IF('Simulador CH BX+'!$D$18="Monto de crédito",$F$11*$F$15,O215*$F$15)</f>
        <v>0</v>
      </c>
      <c r="V215" s="110">
        <f>IF('Simulador CH BX+'!$D$17="Valor Destructible",IF(O215-$F$18&lt;0,0,$F$18),IF(M215&gt;$F$8,0,MAX(O215,$F$10)*$F$17))</f>
        <v>0</v>
      </c>
      <c r="W215" s="110">
        <f t="shared" si="90"/>
        <v>0</v>
      </c>
      <c r="X215" s="110">
        <f t="shared" si="91"/>
        <v>0</v>
      </c>
      <c r="Y215" s="361">
        <f>'Simulador CH BX+'!M248</f>
        <v>0</v>
      </c>
      <c r="Z215" s="11"/>
      <c r="AA215" s="151">
        <f t="shared" si="100"/>
        <v>0</v>
      </c>
      <c r="AB215" s="110">
        <f t="shared" si="93"/>
        <v>0</v>
      </c>
      <c r="AC215" s="110">
        <f t="shared" si="94"/>
        <v>0</v>
      </c>
      <c r="AD215" s="110">
        <f t="shared" si="96"/>
        <v>0</v>
      </c>
      <c r="AE215" s="110">
        <f t="shared" si="95"/>
        <v>0</v>
      </c>
      <c r="AF215" s="110">
        <f>IF('Simulador CH BX+'!$D$18="Monto de crédito",$F$11*$F$15,AA215*$F$15)</f>
        <v>0</v>
      </c>
      <c r="AG215" s="110">
        <f>IF('Simulador CH BX+'!$D$17="Valor Destructible",IF(M215&gt;$F$8,0,$F$20),IF(M215&gt;$F$8,0,MAX(AA215,$F$10)*$F$19))</f>
        <v>0</v>
      </c>
      <c r="AH215" s="110">
        <f t="shared" si="97"/>
        <v>299</v>
      </c>
      <c r="AI215" s="110">
        <f t="shared" si="98"/>
        <v>299</v>
      </c>
      <c r="AJ215" s="361">
        <f t="shared" si="99"/>
        <v>299</v>
      </c>
    </row>
    <row r="216" spans="1:36" s="6" customFormat="1" ht="13.5" customHeight="1" x14ac:dyDescent="0.25">
      <c r="A216" s="11"/>
      <c r="B216" s="11"/>
      <c r="C216" s="11"/>
      <c r="D216" s="11"/>
      <c r="E216" s="10"/>
      <c r="F216" s="10"/>
      <c r="G216" s="10"/>
      <c r="H216" s="10"/>
      <c r="I216" s="10"/>
      <c r="J216" s="10"/>
      <c r="K216" s="10"/>
      <c r="L216" s="11"/>
      <c r="M216" s="360">
        <f t="shared" si="92"/>
        <v>211</v>
      </c>
      <c r="N216" s="111">
        <f t="shared" si="84"/>
        <v>9.6500000000000002E-2</v>
      </c>
      <c r="O216" s="119">
        <f t="shared" si="85"/>
        <v>0</v>
      </c>
      <c r="P216" s="110">
        <f t="shared" si="86"/>
        <v>0</v>
      </c>
      <c r="Q216" s="110">
        <f t="shared" si="87"/>
        <v>0</v>
      </c>
      <c r="R216" s="110">
        <f t="shared" si="88"/>
        <v>0</v>
      </c>
      <c r="S216" s="110">
        <f t="shared" si="89"/>
        <v>0</v>
      </c>
      <c r="T216" s="110"/>
      <c r="U216" s="110">
        <f>IF('Simulador CH BX+'!$D$18="Monto de crédito",$F$11*$F$15,O216*$F$15)</f>
        <v>0</v>
      </c>
      <c r="V216" s="110">
        <f>IF('Simulador CH BX+'!$D$17="Valor Destructible",IF(O216-$F$18&lt;0,0,$F$18),IF(M216&gt;$F$8,0,MAX(O216,$F$10)*$F$17))</f>
        <v>0</v>
      </c>
      <c r="W216" s="110">
        <f t="shared" si="90"/>
        <v>0</v>
      </c>
      <c r="X216" s="110">
        <f t="shared" si="91"/>
        <v>0</v>
      </c>
      <c r="Y216" s="361">
        <f>'Simulador CH BX+'!M249</f>
        <v>0</v>
      </c>
      <c r="Z216" s="11"/>
      <c r="AA216" s="151">
        <f t="shared" si="100"/>
        <v>0</v>
      </c>
      <c r="AB216" s="110">
        <f t="shared" si="93"/>
        <v>0</v>
      </c>
      <c r="AC216" s="110">
        <f t="shared" si="94"/>
        <v>0</v>
      </c>
      <c r="AD216" s="110">
        <f t="shared" si="96"/>
        <v>0</v>
      </c>
      <c r="AE216" s="110">
        <f t="shared" si="95"/>
        <v>0</v>
      </c>
      <c r="AF216" s="110">
        <f>IF('Simulador CH BX+'!$D$18="Monto de crédito",$F$11*$F$15,AA216*$F$15)</f>
        <v>0</v>
      </c>
      <c r="AG216" s="110">
        <f>IF('Simulador CH BX+'!$D$17="Valor Destructible",IF(M216&gt;$F$8,0,$F$20),IF(M216&gt;$F$8,0,MAX(AA216,$F$10)*$F$19))</f>
        <v>0</v>
      </c>
      <c r="AH216" s="110">
        <f t="shared" si="97"/>
        <v>299</v>
      </c>
      <c r="AI216" s="110">
        <f t="shared" si="98"/>
        <v>299</v>
      </c>
      <c r="AJ216" s="361">
        <f t="shared" si="99"/>
        <v>299</v>
      </c>
    </row>
    <row r="217" spans="1:36" s="6" customFormat="1" ht="13.5" customHeight="1" x14ac:dyDescent="0.25">
      <c r="A217" s="11"/>
      <c r="B217" s="11"/>
      <c r="C217" s="11"/>
      <c r="D217" s="11"/>
      <c r="E217" s="10"/>
      <c r="F217" s="10"/>
      <c r="G217" s="10"/>
      <c r="H217" s="10"/>
      <c r="I217" s="10"/>
      <c r="J217" s="10"/>
      <c r="K217" s="10"/>
      <c r="L217" s="11"/>
      <c r="M217" s="360">
        <f t="shared" si="92"/>
        <v>212</v>
      </c>
      <c r="N217" s="111">
        <f t="shared" si="84"/>
        <v>9.6500000000000002E-2</v>
      </c>
      <c r="O217" s="119">
        <f t="shared" si="85"/>
        <v>0</v>
      </c>
      <c r="P217" s="110">
        <f t="shared" si="86"/>
        <v>0</v>
      </c>
      <c r="Q217" s="110">
        <f t="shared" si="87"/>
        <v>0</v>
      </c>
      <c r="R217" s="110">
        <f t="shared" si="88"/>
        <v>0</v>
      </c>
      <c r="S217" s="110">
        <f t="shared" si="89"/>
        <v>0</v>
      </c>
      <c r="T217" s="110"/>
      <c r="U217" s="110">
        <f>IF('Simulador CH BX+'!$D$18="Monto de crédito",$F$11*$F$15,O217*$F$15)</f>
        <v>0</v>
      </c>
      <c r="V217" s="110">
        <f>IF('Simulador CH BX+'!$D$17="Valor Destructible",IF(O217-$F$18&lt;0,0,$F$18),IF(M217&gt;$F$8,0,MAX(O217,$F$10)*$F$17))</f>
        <v>0</v>
      </c>
      <c r="W217" s="110">
        <f t="shared" si="90"/>
        <v>0</v>
      </c>
      <c r="X217" s="110">
        <f t="shared" si="91"/>
        <v>0</v>
      </c>
      <c r="Y217" s="361">
        <f>'Simulador CH BX+'!M250</f>
        <v>0</v>
      </c>
      <c r="Z217" s="11"/>
      <c r="AA217" s="151">
        <f t="shared" si="100"/>
        <v>0</v>
      </c>
      <c r="AB217" s="110">
        <f t="shared" si="93"/>
        <v>0</v>
      </c>
      <c r="AC217" s="110">
        <f t="shared" si="94"/>
        <v>0</v>
      </c>
      <c r="AD217" s="110">
        <f t="shared" si="96"/>
        <v>0</v>
      </c>
      <c r="AE217" s="110">
        <f t="shared" si="95"/>
        <v>0</v>
      </c>
      <c r="AF217" s="110">
        <f>IF('Simulador CH BX+'!$D$18="Monto de crédito",$F$11*$F$15,AA217*$F$15)</f>
        <v>0</v>
      </c>
      <c r="AG217" s="110">
        <f>IF('Simulador CH BX+'!$D$17="Valor Destructible",IF(M217&gt;$F$8,0,$F$20),IF(M217&gt;$F$8,0,MAX(AA217,$F$10)*$F$19))</f>
        <v>0</v>
      </c>
      <c r="AH217" s="110">
        <f t="shared" si="97"/>
        <v>299</v>
      </c>
      <c r="AI217" s="110">
        <f t="shared" si="98"/>
        <v>299</v>
      </c>
      <c r="AJ217" s="361">
        <f t="shared" si="99"/>
        <v>299</v>
      </c>
    </row>
    <row r="218" spans="1:36" s="6" customFormat="1" ht="13.5" customHeight="1" x14ac:dyDescent="0.25">
      <c r="A218" s="11"/>
      <c r="B218" s="11"/>
      <c r="C218" s="11"/>
      <c r="D218" s="11"/>
      <c r="E218" s="10"/>
      <c r="F218" s="10"/>
      <c r="G218" s="10"/>
      <c r="H218" s="10"/>
      <c r="I218" s="10"/>
      <c r="J218" s="10"/>
      <c r="K218" s="10"/>
      <c r="L218" s="11"/>
      <c r="M218" s="360">
        <f t="shared" si="92"/>
        <v>213</v>
      </c>
      <c r="N218" s="111">
        <f t="shared" si="84"/>
        <v>9.6500000000000002E-2</v>
      </c>
      <c r="O218" s="119">
        <f t="shared" si="85"/>
        <v>0</v>
      </c>
      <c r="P218" s="110">
        <f t="shared" si="86"/>
        <v>0</v>
      </c>
      <c r="Q218" s="110">
        <f t="shared" si="87"/>
        <v>0</v>
      </c>
      <c r="R218" s="110">
        <f t="shared" si="88"/>
        <v>0</v>
      </c>
      <c r="S218" s="110">
        <f t="shared" si="89"/>
        <v>0</v>
      </c>
      <c r="T218" s="110"/>
      <c r="U218" s="110">
        <f>IF('Simulador CH BX+'!$D$18="Monto de crédito",$F$11*$F$15,O218*$F$15)</f>
        <v>0</v>
      </c>
      <c r="V218" s="110">
        <f>IF('Simulador CH BX+'!$D$17="Valor Destructible",IF(O218-$F$18&lt;0,0,$F$18),IF(M218&gt;$F$8,0,MAX(O218,$F$10)*$F$17))</f>
        <v>0</v>
      </c>
      <c r="W218" s="110">
        <f t="shared" si="90"/>
        <v>0</v>
      </c>
      <c r="X218" s="110">
        <f t="shared" si="91"/>
        <v>0</v>
      </c>
      <c r="Y218" s="361">
        <f>'Simulador CH BX+'!M251</f>
        <v>0</v>
      </c>
      <c r="Z218" s="11"/>
      <c r="AA218" s="151">
        <f t="shared" si="100"/>
        <v>0</v>
      </c>
      <c r="AB218" s="110">
        <f t="shared" si="93"/>
        <v>0</v>
      </c>
      <c r="AC218" s="110">
        <f t="shared" si="94"/>
        <v>0</v>
      </c>
      <c r="AD218" s="110">
        <f t="shared" si="96"/>
        <v>0</v>
      </c>
      <c r="AE218" s="110">
        <f t="shared" si="95"/>
        <v>0</v>
      </c>
      <c r="AF218" s="110">
        <f>IF('Simulador CH BX+'!$D$18="Monto de crédito",$F$11*$F$15,AA218*$F$15)</f>
        <v>0</v>
      </c>
      <c r="AG218" s="110">
        <f>IF('Simulador CH BX+'!$D$17="Valor Destructible",IF(M218&gt;$F$8,0,$F$20),IF(M218&gt;$F$8,0,MAX(AA218,$F$10)*$F$19))</f>
        <v>0</v>
      </c>
      <c r="AH218" s="110">
        <f t="shared" si="97"/>
        <v>299</v>
      </c>
      <c r="AI218" s="110">
        <f t="shared" si="98"/>
        <v>299</v>
      </c>
      <c r="AJ218" s="361">
        <f t="shared" si="99"/>
        <v>299</v>
      </c>
    </row>
    <row r="219" spans="1:36" s="6" customFormat="1" ht="13.5" customHeight="1" x14ac:dyDescent="0.25">
      <c r="A219" s="11"/>
      <c r="B219" s="11"/>
      <c r="C219" s="11"/>
      <c r="D219" s="11"/>
      <c r="E219" s="10"/>
      <c r="F219" s="10"/>
      <c r="G219" s="10"/>
      <c r="H219" s="10"/>
      <c r="I219" s="10"/>
      <c r="J219" s="10"/>
      <c r="K219" s="10"/>
      <c r="L219" s="11"/>
      <c r="M219" s="360">
        <f t="shared" si="92"/>
        <v>214</v>
      </c>
      <c r="N219" s="111">
        <f t="shared" si="84"/>
        <v>9.6500000000000002E-2</v>
      </c>
      <c r="O219" s="119">
        <f t="shared" si="85"/>
        <v>0</v>
      </c>
      <c r="P219" s="110">
        <f t="shared" si="86"/>
        <v>0</v>
      </c>
      <c r="Q219" s="110">
        <f t="shared" si="87"/>
        <v>0</v>
      </c>
      <c r="R219" s="110">
        <f t="shared" si="88"/>
        <v>0</v>
      </c>
      <c r="S219" s="110">
        <f t="shared" si="89"/>
        <v>0</v>
      </c>
      <c r="T219" s="110"/>
      <c r="U219" s="110">
        <f>IF('Simulador CH BX+'!$D$18="Monto de crédito",$F$11*$F$15,O219*$F$15)</f>
        <v>0</v>
      </c>
      <c r="V219" s="110">
        <f>IF('Simulador CH BX+'!$D$17="Valor Destructible",IF(O219-$F$18&lt;0,0,$F$18),IF(M219&gt;$F$8,0,MAX(O219,$F$10)*$F$17))</f>
        <v>0</v>
      </c>
      <c r="W219" s="110">
        <f t="shared" si="90"/>
        <v>0</v>
      </c>
      <c r="X219" s="110">
        <f t="shared" si="91"/>
        <v>0</v>
      </c>
      <c r="Y219" s="361">
        <f>'Simulador CH BX+'!M252</f>
        <v>0</v>
      </c>
      <c r="Z219" s="11"/>
      <c r="AA219" s="151">
        <f t="shared" si="100"/>
        <v>0</v>
      </c>
      <c r="AB219" s="110">
        <f t="shared" si="93"/>
        <v>0</v>
      </c>
      <c r="AC219" s="110">
        <f t="shared" si="94"/>
        <v>0</v>
      </c>
      <c r="AD219" s="110">
        <f t="shared" si="96"/>
        <v>0</v>
      </c>
      <c r="AE219" s="110">
        <f t="shared" si="95"/>
        <v>0</v>
      </c>
      <c r="AF219" s="110">
        <f>IF('Simulador CH BX+'!$D$18="Monto de crédito",$F$11*$F$15,AA219*$F$15)</f>
        <v>0</v>
      </c>
      <c r="AG219" s="110">
        <f>IF('Simulador CH BX+'!$D$17="Valor Destructible",IF(M219&gt;$F$8,0,$F$20),IF(M219&gt;$F$8,0,MAX(AA219,$F$10)*$F$19))</f>
        <v>0</v>
      </c>
      <c r="AH219" s="110">
        <f t="shared" si="97"/>
        <v>299</v>
      </c>
      <c r="AI219" s="110">
        <f t="shared" si="98"/>
        <v>299</v>
      </c>
      <c r="AJ219" s="361">
        <f t="shared" si="99"/>
        <v>299</v>
      </c>
    </row>
    <row r="220" spans="1:36" s="6" customFormat="1" ht="13.5" customHeight="1" x14ac:dyDescent="0.25">
      <c r="A220" s="11"/>
      <c r="B220" s="11"/>
      <c r="C220" s="11"/>
      <c r="D220" s="11"/>
      <c r="E220" s="10"/>
      <c r="F220" s="10"/>
      <c r="G220" s="10"/>
      <c r="H220" s="10"/>
      <c r="I220" s="10"/>
      <c r="J220" s="10"/>
      <c r="K220" s="10"/>
      <c r="L220" s="11"/>
      <c r="M220" s="360">
        <f t="shared" si="92"/>
        <v>215</v>
      </c>
      <c r="N220" s="111">
        <f t="shared" si="84"/>
        <v>9.6500000000000002E-2</v>
      </c>
      <c r="O220" s="119">
        <f t="shared" si="85"/>
        <v>0</v>
      </c>
      <c r="P220" s="110">
        <f t="shared" si="86"/>
        <v>0</v>
      </c>
      <c r="Q220" s="110">
        <f t="shared" si="87"/>
        <v>0</v>
      </c>
      <c r="R220" s="110">
        <f t="shared" si="88"/>
        <v>0</v>
      </c>
      <c r="S220" s="110">
        <f t="shared" si="89"/>
        <v>0</v>
      </c>
      <c r="T220" s="110"/>
      <c r="U220" s="110">
        <f>IF('Simulador CH BX+'!$D$18="Monto de crédito",$F$11*$F$15,O220*$F$15)</f>
        <v>0</v>
      </c>
      <c r="V220" s="110">
        <f>IF('Simulador CH BX+'!$D$17="Valor Destructible",IF(O220-$F$18&lt;0,0,$F$18),IF(M220&gt;$F$8,0,MAX(O220,$F$10)*$F$17))</f>
        <v>0</v>
      </c>
      <c r="W220" s="110">
        <f t="shared" si="90"/>
        <v>0</v>
      </c>
      <c r="X220" s="110">
        <f t="shared" si="91"/>
        <v>0</v>
      </c>
      <c r="Y220" s="361">
        <f>'Simulador CH BX+'!M253</f>
        <v>0</v>
      </c>
      <c r="Z220" s="11"/>
      <c r="AA220" s="151">
        <f t="shared" si="100"/>
        <v>0</v>
      </c>
      <c r="AB220" s="110">
        <f t="shared" si="93"/>
        <v>0</v>
      </c>
      <c r="AC220" s="110">
        <f t="shared" si="94"/>
        <v>0</v>
      </c>
      <c r="AD220" s="110">
        <f t="shared" si="96"/>
        <v>0</v>
      </c>
      <c r="AE220" s="110">
        <f t="shared" si="95"/>
        <v>0</v>
      </c>
      <c r="AF220" s="110">
        <f>IF('Simulador CH BX+'!$D$18="Monto de crédito",$F$11*$F$15,AA220*$F$15)</f>
        <v>0</v>
      </c>
      <c r="AG220" s="110">
        <f>IF('Simulador CH BX+'!$D$17="Valor Destructible",IF(M220&gt;$F$8,0,$F$20),IF(M220&gt;$F$8,0,MAX(AA220,$F$10)*$F$19))</f>
        <v>0</v>
      </c>
      <c r="AH220" s="110">
        <f t="shared" si="97"/>
        <v>299</v>
      </c>
      <c r="AI220" s="110">
        <f t="shared" si="98"/>
        <v>299</v>
      </c>
      <c r="AJ220" s="361">
        <f t="shared" si="99"/>
        <v>299</v>
      </c>
    </row>
    <row r="221" spans="1:36" s="6" customFormat="1" ht="13.5" customHeight="1" x14ac:dyDescent="0.25">
      <c r="A221" s="11"/>
      <c r="B221" s="11"/>
      <c r="C221" s="11"/>
      <c r="D221" s="11"/>
      <c r="E221" s="10"/>
      <c r="F221" s="10"/>
      <c r="G221" s="10"/>
      <c r="H221" s="10"/>
      <c r="I221" s="10"/>
      <c r="J221" s="10"/>
      <c r="K221" s="10"/>
      <c r="L221" s="11"/>
      <c r="M221" s="103">
        <f t="shared" si="92"/>
        <v>216</v>
      </c>
      <c r="N221" s="104">
        <f t="shared" si="84"/>
        <v>9.6500000000000002E-2</v>
      </c>
      <c r="O221" s="105">
        <f t="shared" si="85"/>
        <v>0</v>
      </c>
      <c r="P221" s="106">
        <f t="shared" si="86"/>
        <v>0</v>
      </c>
      <c r="Q221" s="106">
        <f t="shared" si="87"/>
        <v>0</v>
      </c>
      <c r="R221" s="106">
        <f t="shared" si="88"/>
        <v>0</v>
      </c>
      <c r="S221" s="106">
        <f t="shared" si="89"/>
        <v>0</v>
      </c>
      <c r="T221" s="106"/>
      <c r="U221" s="106">
        <f>IF('Simulador CH BX+'!$D$18="Monto de crédito",$F$11*$F$15,O221*$F$15)</f>
        <v>0</v>
      </c>
      <c r="V221" s="106">
        <f>IF('Simulador CH BX+'!$D$17="Valor Destructible",IF(O221-$F$18&lt;0,0,$F$18),IF(M221&gt;$F$8,0,MAX(O221,$F$10)*$F$17))</f>
        <v>0</v>
      </c>
      <c r="W221" s="106">
        <f t="shared" si="90"/>
        <v>0</v>
      </c>
      <c r="X221" s="106">
        <f t="shared" si="91"/>
        <v>0</v>
      </c>
      <c r="Y221" s="107">
        <f>'Simulador CH BX+'!M254</f>
        <v>0</v>
      </c>
      <c r="Z221" s="11"/>
      <c r="AA221" s="150">
        <f t="shared" si="100"/>
        <v>0</v>
      </c>
      <c r="AB221" s="106">
        <f t="shared" si="93"/>
        <v>0</v>
      </c>
      <c r="AC221" s="106">
        <f t="shared" si="94"/>
        <v>0</v>
      </c>
      <c r="AD221" s="106">
        <f t="shared" si="96"/>
        <v>0</v>
      </c>
      <c r="AE221" s="106">
        <f t="shared" si="95"/>
        <v>0</v>
      </c>
      <c r="AF221" s="106">
        <f>IF('Simulador CH BX+'!$D$18="Monto de crédito",$F$11*$F$15,AA221*$F$15)</f>
        <v>0</v>
      </c>
      <c r="AG221" s="106">
        <f>IF('Simulador CH BX+'!$D$17="Valor Destructible",IF(M221&gt;$F$8,0,$F$20),IF(M221&gt;$F$8,0,MAX(AA221,$F$10)*$F$19))</f>
        <v>0</v>
      </c>
      <c r="AH221" s="106">
        <f t="shared" si="97"/>
        <v>299</v>
      </c>
      <c r="AI221" s="106">
        <f t="shared" si="98"/>
        <v>299</v>
      </c>
      <c r="AJ221" s="107">
        <f t="shared" si="99"/>
        <v>299</v>
      </c>
    </row>
    <row r="222" spans="1:36" s="6" customFormat="1" ht="13.5" customHeight="1" x14ac:dyDescent="0.25">
      <c r="A222" s="11"/>
      <c r="B222" s="11"/>
      <c r="C222" s="11"/>
      <c r="D222" s="11"/>
      <c r="E222" s="10"/>
      <c r="F222" s="10"/>
      <c r="G222" s="10"/>
      <c r="H222" s="10"/>
      <c r="I222" s="10"/>
      <c r="J222" s="10"/>
      <c r="K222" s="10"/>
      <c r="L222" s="11"/>
      <c r="M222" s="360">
        <f t="shared" si="92"/>
        <v>217</v>
      </c>
      <c r="N222" s="111">
        <f t="shared" si="84"/>
        <v>9.6500000000000002E-2</v>
      </c>
      <c r="O222" s="119">
        <f t="shared" si="85"/>
        <v>0</v>
      </c>
      <c r="P222" s="110">
        <f t="shared" si="86"/>
        <v>0</v>
      </c>
      <c r="Q222" s="110">
        <f t="shared" si="87"/>
        <v>0</v>
      </c>
      <c r="R222" s="110">
        <f t="shared" si="88"/>
        <v>0</v>
      </c>
      <c r="S222" s="110">
        <f t="shared" si="89"/>
        <v>0</v>
      </c>
      <c r="T222" s="110"/>
      <c r="U222" s="110">
        <f>IF('Simulador CH BX+'!$D$18="Monto de crédito",$F$11*$F$15,O222*$F$15)</f>
        <v>0</v>
      </c>
      <c r="V222" s="110">
        <f>IF('Simulador CH BX+'!$D$17="Valor Destructible",IF(O222-$F$18&lt;0,0,$F$18),IF(M222&gt;$F$8,0,MAX(O222,$F$10)*$F$17))</f>
        <v>0</v>
      </c>
      <c r="W222" s="110">
        <f t="shared" si="90"/>
        <v>0</v>
      </c>
      <c r="X222" s="110">
        <f t="shared" si="91"/>
        <v>0</v>
      </c>
      <c r="Y222" s="361">
        <f>'Simulador CH BX+'!M255</f>
        <v>0</v>
      </c>
      <c r="Z222" s="11"/>
      <c r="AA222" s="151">
        <f t="shared" si="100"/>
        <v>0</v>
      </c>
      <c r="AB222" s="110">
        <f t="shared" si="93"/>
        <v>0</v>
      </c>
      <c r="AC222" s="110">
        <f t="shared" si="94"/>
        <v>0</v>
      </c>
      <c r="AD222" s="110">
        <f t="shared" si="96"/>
        <v>0</v>
      </c>
      <c r="AE222" s="110">
        <f t="shared" si="95"/>
        <v>0</v>
      </c>
      <c r="AF222" s="110">
        <f>IF('Simulador CH BX+'!$D$18="Monto de crédito",$F$11*$F$15,AA222*$F$15)</f>
        <v>0</v>
      </c>
      <c r="AG222" s="110">
        <f>IF('Simulador CH BX+'!$D$17="Valor Destructible",IF(M222&gt;$F$8,0,$F$20),IF(M222&gt;$F$8,0,MAX(AA222,$F$10)*$F$19))</f>
        <v>0</v>
      </c>
      <c r="AH222" s="110">
        <f t="shared" si="97"/>
        <v>299</v>
      </c>
      <c r="AI222" s="110">
        <f t="shared" si="98"/>
        <v>299</v>
      </c>
      <c r="AJ222" s="361">
        <f t="shared" si="99"/>
        <v>299</v>
      </c>
    </row>
    <row r="223" spans="1:36" s="6" customFormat="1" ht="13.5" customHeight="1" x14ac:dyDescent="0.25">
      <c r="A223" s="11"/>
      <c r="B223" s="11"/>
      <c r="C223" s="11"/>
      <c r="D223" s="11"/>
      <c r="E223" s="10"/>
      <c r="F223" s="10"/>
      <c r="G223" s="10"/>
      <c r="H223" s="10"/>
      <c r="I223" s="10"/>
      <c r="J223" s="10"/>
      <c r="K223" s="10"/>
      <c r="L223" s="11"/>
      <c r="M223" s="360">
        <f t="shared" si="92"/>
        <v>218</v>
      </c>
      <c r="N223" s="111">
        <f t="shared" si="84"/>
        <v>9.6500000000000002E-2</v>
      </c>
      <c r="O223" s="119">
        <f t="shared" si="85"/>
        <v>0</v>
      </c>
      <c r="P223" s="110">
        <f t="shared" si="86"/>
        <v>0</v>
      </c>
      <c r="Q223" s="110">
        <f t="shared" si="87"/>
        <v>0</v>
      </c>
      <c r="R223" s="110">
        <f t="shared" si="88"/>
        <v>0</v>
      </c>
      <c r="S223" s="110">
        <f t="shared" si="89"/>
        <v>0</v>
      </c>
      <c r="T223" s="110"/>
      <c r="U223" s="110">
        <f>IF('Simulador CH BX+'!$D$18="Monto de crédito",$F$11*$F$15,O223*$F$15)</f>
        <v>0</v>
      </c>
      <c r="V223" s="110">
        <f>IF('Simulador CH BX+'!$D$17="Valor Destructible",IF(O223-$F$18&lt;0,0,$F$18),IF(M223&gt;$F$8,0,MAX(O223,$F$10)*$F$17))</f>
        <v>0</v>
      </c>
      <c r="W223" s="110">
        <f t="shared" si="90"/>
        <v>0</v>
      </c>
      <c r="X223" s="110">
        <f t="shared" si="91"/>
        <v>0</v>
      </c>
      <c r="Y223" s="361">
        <f>'Simulador CH BX+'!M256</f>
        <v>0</v>
      </c>
      <c r="Z223" s="11"/>
      <c r="AA223" s="151">
        <f t="shared" si="100"/>
        <v>0</v>
      </c>
      <c r="AB223" s="110">
        <f t="shared" si="93"/>
        <v>0</v>
      </c>
      <c r="AC223" s="110">
        <f t="shared" si="94"/>
        <v>0</v>
      </c>
      <c r="AD223" s="110">
        <f t="shared" si="96"/>
        <v>0</v>
      </c>
      <c r="AE223" s="110">
        <f t="shared" si="95"/>
        <v>0</v>
      </c>
      <c r="AF223" s="110">
        <f>IF('Simulador CH BX+'!$D$18="Monto de crédito",$F$11*$F$15,AA223*$F$15)</f>
        <v>0</v>
      </c>
      <c r="AG223" s="110">
        <f>IF('Simulador CH BX+'!$D$17="Valor Destructible",IF(M223&gt;$F$8,0,$F$20),IF(M223&gt;$F$8,0,MAX(AA223,$F$10)*$F$19))</f>
        <v>0</v>
      </c>
      <c r="AH223" s="110">
        <f t="shared" si="97"/>
        <v>299</v>
      </c>
      <c r="AI223" s="110">
        <f t="shared" si="98"/>
        <v>299</v>
      </c>
      <c r="AJ223" s="361">
        <f t="shared" si="99"/>
        <v>299</v>
      </c>
    </row>
    <row r="224" spans="1:36" s="6" customFormat="1" ht="13.5" customHeight="1" x14ac:dyDescent="0.25">
      <c r="A224" s="11"/>
      <c r="B224" s="11"/>
      <c r="C224" s="11"/>
      <c r="D224" s="11"/>
      <c r="E224" s="10"/>
      <c r="F224" s="10"/>
      <c r="G224" s="10"/>
      <c r="H224" s="10"/>
      <c r="I224" s="10"/>
      <c r="J224" s="10"/>
      <c r="K224" s="10"/>
      <c r="L224" s="11"/>
      <c r="M224" s="360">
        <f t="shared" si="92"/>
        <v>219</v>
      </c>
      <c r="N224" s="111">
        <f t="shared" si="84"/>
        <v>9.6500000000000002E-2</v>
      </c>
      <c r="O224" s="119">
        <f t="shared" si="85"/>
        <v>0</v>
      </c>
      <c r="P224" s="110">
        <f t="shared" si="86"/>
        <v>0</v>
      </c>
      <c r="Q224" s="110">
        <f t="shared" si="87"/>
        <v>0</v>
      </c>
      <c r="R224" s="110">
        <f t="shared" si="88"/>
        <v>0</v>
      </c>
      <c r="S224" s="110">
        <f t="shared" si="89"/>
        <v>0</v>
      </c>
      <c r="T224" s="110"/>
      <c r="U224" s="110">
        <f>IF('Simulador CH BX+'!$D$18="Monto de crédito",$F$11*$F$15,O224*$F$15)</f>
        <v>0</v>
      </c>
      <c r="V224" s="110">
        <f>IF('Simulador CH BX+'!$D$17="Valor Destructible",IF(O224-$F$18&lt;0,0,$F$18),IF(M224&gt;$F$8,0,MAX(O224,$F$10)*$F$17))</f>
        <v>0</v>
      </c>
      <c r="W224" s="110">
        <f t="shared" si="90"/>
        <v>0</v>
      </c>
      <c r="X224" s="110">
        <f t="shared" si="91"/>
        <v>0</v>
      </c>
      <c r="Y224" s="361">
        <f>'Simulador CH BX+'!M257</f>
        <v>0</v>
      </c>
      <c r="Z224" s="11"/>
      <c r="AA224" s="151">
        <f t="shared" si="100"/>
        <v>0</v>
      </c>
      <c r="AB224" s="110">
        <f t="shared" si="93"/>
        <v>0</v>
      </c>
      <c r="AC224" s="110">
        <f t="shared" si="94"/>
        <v>0</v>
      </c>
      <c r="AD224" s="110">
        <f t="shared" si="96"/>
        <v>0</v>
      </c>
      <c r="AE224" s="110">
        <f t="shared" si="95"/>
        <v>0</v>
      </c>
      <c r="AF224" s="110">
        <f>IF('Simulador CH BX+'!$D$18="Monto de crédito",$F$11*$F$15,AA224*$F$15)</f>
        <v>0</v>
      </c>
      <c r="AG224" s="110">
        <f>IF('Simulador CH BX+'!$D$17="Valor Destructible",IF(M224&gt;$F$8,0,$F$20),IF(M224&gt;$F$8,0,MAX(AA224,$F$10)*$F$19))</f>
        <v>0</v>
      </c>
      <c r="AH224" s="110">
        <f t="shared" si="97"/>
        <v>299</v>
      </c>
      <c r="AI224" s="110">
        <f t="shared" si="98"/>
        <v>299</v>
      </c>
      <c r="AJ224" s="361">
        <f t="shared" si="99"/>
        <v>299</v>
      </c>
    </row>
    <row r="225" spans="1:36" s="6" customFormat="1" ht="13.5" customHeight="1" x14ac:dyDescent="0.25">
      <c r="A225" s="11"/>
      <c r="B225" s="11"/>
      <c r="C225" s="11"/>
      <c r="D225" s="11"/>
      <c r="E225" s="10"/>
      <c r="F225" s="10"/>
      <c r="G225" s="10"/>
      <c r="H225" s="10"/>
      <c r="I225" s="10"/>
      <c r="J225" s="10"/>
      <c r="K225" s="10"/>
      <c r="L225" s="11"/>
      <c r="M225" s="360">
        <f t="shared" si="92"/>
        <v>220</v>
      </c>
      <c r="N225" s="111">
        <f t="shared" si="84"/>
        <v>9.6500000000000002E-2</v>
      </c>
      <c r="O225" s="119">
        <f t="shared" si="85"/>
        <v>0</v>
      </c>
      <c r="P225" s="110">
        <f t="shared" si="86"/>
        <v>0</v>
      </c>
      <c r="Q225" s="110">
        <f t="shared" si="87"/>
        <v>0</v>
      </c>
      <c r="R225" s="110">
        <f t="shared" si="88"/>
        <v>0</v>
      </c>
      <c r="S225" s="110">
        <f t="shared" si="89"/>
        <v>0</v>
      </c>
      <c r="T225" s="110"/>
      <c r="U225" s="110">
        <f>IF('Simulador CH BX+'!$D$18="Monto de crédito",$F$11*$F$15,O225*$F$15)</f>
        <v>0</v>
      </c>
      <c r="V225" s="110">
        <f>IF('Simulador CH BX+'!$D$17="Valor Destructible",IF(O225-$F$18&lt;0,0,$F$18),IF(M225&gt;$F$8,0,MAX(O225,$F$10)*$F$17))</f>
        <v>0</v>
      </c>
      <c r="W225" s="110">
        <f t="shared" si="90"/>
        <v>0</v>
      </c>
      <c r="X225" s="110">
        <f t="shared" si="91"/>
        <v>0</v>
      </c>
      <c r="Y225" s="361">
        <f>'Simulador CH BX+'!M258</f>
        <v>0</v>
      </c>
      <c r="Z225" s="11"/>
      <c r="AA225" s="151">
        <f t="shared" si="100"/>
        <v>0</v>
      </c>
      <c r="AB225" s="110">
        <f t="shared" si="93"/>
        <v>0</v>
      </c>
      <c r="AC225" s="110">
        <f t="shared" si="94"/>
        <v>0</v>
      </c>
      <c r="AD225" s="110">
        <f t="shared" si="96"/>
        <v>0</v>
      </c>
      <c r="AE225" s="110">
        <f t="shared" si="95"/>
        <v>0</v>
      </c>
      <c r="AF225" s="110">
        <f>IF('Simulador CH BX+'!$D$18="Monto de crédito",$F$11*$F$15,AA225*$F$15)</f>
        <v>0</v>
      </c>
      <c r="AG225" s="110">
        <f>IF('Simulador CH BX+'!$D$17="Valor Destructible",IF(M225&gt;$F$8,0,$F$20),IF(M225&gt;$F$8,0,MAX(AA225,$F$10)*$F$19))</f>
        <v>0</v>
      </c>
      <c r="AH225" s="110">
        <f t="shared" si="97"/>
        <v>299</v>
      </c>
      <c r="AI225" s="110">
        <f t="shared" si="98"/>
        <v>299</v>
      </c>
      <c r="AJ225" s="361">
        <f t="shared" si="99"/>
        <v>299</v>
      </c>
    </row>
    <row r="226" spans="1:36" s="6" customFormat="1" ht="13.5" customHeight="1" x14ac:dyDescent="0.25">
      <c r="A226" s="11"/>
      <c r="B226" s="11"/>
      <c r="C226" s="11"/>
      <c r="D226" s="11"/>
      <c r="E226" s="10"/>
      <c r="F226" s="10"/>
      <c r="G226" s="10"/>
      <c r="H226" s="10"/>
      <c r="I226" s="10"/>
      <c r="J226" s="10"/>
      <c r="K226" s="10"/>
      <c r="L226" s="11"/>
      <c r="M226" s="360">
        <f t="shared" si="92"/>
        <v>221</v>
      </c>
      <c r="N226" s="111">
        <f t="shared" si="84"/>
        <v>9.6500000000000002E-2</v>
      </c>
      <c r="O226" s="119">
        <f t="shared" si="85"/>
        <v>0</v>
      </c>
      <c r="P226" s="110">
        <f t="shared" si="86"/>
        <v>0</v>
      </c>
      <c r="Q226" s="110">
        <f t="shared" si="87"/>
        <v>0</v>
      </c>
      <c r="R226" s="110">
        <f t="shared" si="88"/>
        <v>0</v>
      </c>
      <c r="S226" s="110">
        <f t="shared" si="89"/>
        <v>0</v>
      </c>
      <c r="T226" s="110"/>
      <c r="U226" s="110">
        <f>IF('Simulador CH BX+'!$D$18="Monto de crédito",$F$11*$F$15,O226*$F$15)</f>
        <v>0</v>
      </c>
      <c r="V226" s="110">
        <f>IF('Simulador CH BX+'!$D$17="Valor Destructible",IF(O226-$F$18&lt;0,0,$F$18),IF(M226&gt;$F$8,0,MAX(O226,$F$10)*$F$17))</f>
        <v>0</v>
      </c>
      <c r="W226" s="110">
        <f t="shared" si="90"/>
        <v>0</v>
      </c>
      <c r="X226" s="110">
        <f t="shared" si="91"/>
        <v>0</v>
      </c>
      <c r="Y226" s="361">
        <f>'Simulador CH BX+'!M259</f>
        <v>0</v>
      </c>
      <c r="Z226" s="11"/>
      <c r="AA226" s="151">
        <f t="shared" si="100"/>
        <v>0</v>
      </c>
      <c r="AB226" s="110">
        <f t="shared" si="93"/>
        <v>0</v>
      </c>
      <c r="AC226" s="110">
        <f t="shared" si="94"/>
        <v>0</v>
      </c>
      <c r="AD226" s="110">
        <f t="shared" si="96"/>
        <v>0</v>
      </c>
      <c r="AE226" s="110">
        <f t="shared" si="95"/>
        <v>0</v>
      </c>
      <c r="AF226" s="110">
        <f>IF('Simulador CH BX+'!$D$18="Monto de crédito",$F$11*$F$15,AA226*$F$15)</f>
        <v>0</v>
      </c>
      <c r="AG226" s="110">
        <f>IF('Simulador CH BX+'!$D$17="Valor Destructible",IF(M226&gt;$F$8,0,$F$20),IF(M226&gt;$F$8,0,MAX(AA226,$F$10)*$F$19))</f>
        <v>0</v>
      </c>
      <c r="AH226" s="110">
        <f t="shared" si="97"/>
        <v>299</v>
      </c>
      <c r="AI226" s="110">
        <f t="shared" si="98"/>
        <v>299</v>
      </c>
      <c r="AJ226" s="361">
        <f t="shared" si="99"/>
        <v>299</v>
      </c>
    </row>
    <row r="227" spans="1:36" s="6" customFormat="1" ht="13.5" customHeight="1" x14ac:dyDescent="0.25">
      <c r="A227" s="11"/>
      <c r="B227" s="11"/>
      <c r="C227" s="11"/>
      <c r="D227" s="11"/>
      <c r="E227" s="10"/>
      <c r="F227" s="10"/>
      <c r="G227" s="10"/>
      <c r="H227" s="10"/>
      <c r="I227" s="10"/>
      <c r="J227" s="10"/>
      <c r="K227" s="10"/>
      <c r="L227" s="11"/>
      <c r="M227" s="360">
        <f t="shared" si="92"/>
        <v>222</v>
      </c>
      <c r="N227" s="111">
        <f t="shared" si="84"/>
        <v>9.6500000000000002E-2</v>
      </c>
      <c r="O227" s="119">
        <f t="shared" si="85"/>
        <v>0</v>
      </c>
      <c r="P227" s="110">
        <f t="shared" si="86"/>
        <v>0</v>
      </c>
      <c r="Q227" s="110">
        <f t="shared" si="87"/>
        <v>0</v>
      </c>
      <c r="R227" s="110">
        <f t="shared" si="88"/>
        <v>0</v>
      </c>
      <c r="S227" s="110">
        <f t="shared" si="89"/>
        <v>0</v>
      </c>
      <c r="T227" s="110"/>
      <c r="U227" s="110">
        <f>IF('Simulador CH BX+'!$D$18="Monto de crédito",$F$11*$F$15,O227*$F$15)</f>
        <v>0</v>
      </c>
      <c r="V227" s="110">
        <f>IF('Simulador CH BX+'!$D$17="Valor Destructible",IF(O227-$F$18&lt;0,0,$F$18),IF(M227&gt;$F$8,0,MAX(O227,$F$10)*$F$17))</f>
        <v>0</v>
      </c>
      <c r="W227" s="110">
        <f t="shared" si="90"/>
        <v>0</v>
      </c>
      <c r="X227" s="110">
        <f t="shared" si="91"/>
        <v>0</v>
      </c>
      <c r="Y227" s="361">
        <f>'Simulador CH BX+'!M260</f>
        <v>0</v>
      </c>
      <c r="Z227" s="11"/>
      <c r="AA227" s="151">
        <f t="shared" si="100"/>
        <v>0</v>
      </c>
      <c r="AB227" s="110">
        <f t="shared" si="93"/>
        <v>0</v>
      </c>
      <c r="AC227" s="110">
        <f t="shared" si="94"/>
        <v>0</v>
      </c>
      <c r="AD227" s="110">
        <f t="shared" si="96"/>
        <v>0</v>
      </c>
      <c r="AE227" s="110">
        <f t="shared" si="95"/>
        <v>0</v>
      </c>
      <c r="AF227" s="110">
        <f>IF('Simulador CH BX+'!$D$18="Monto de crédito",$F$11*$F$15,AA227*$F$15)</f>
        <v>0</v>
      </c>
      <c r="AG227" s="110">
        <f>IF('Simulador CH BX+'!$D$17="Valor Destructible",IF(M227&gt;$F$8,0,$F$20),IF(M227&gt;$F$8,0,MAX(AA227,$F$10)*$F$19))</f>
        <v>0</v>
      </c>
      <c r="AH227" s="110">
        <f t="shared" si="97"/>
        <v>299</v>
      </c>
      <c r="AI227" s="110">
        <f t="shared" si="98"/>
        <v>299</v>
      </c>
      <c r="AJ227" s="361">
        <f t="shared" si="99"/>
        <v>299</v>
      </c>
    </row>
    <row r="228" spans="1:36" s="6" customFormat="1" ht="13.5" customHeight="1" x14ac:dyDescent="0.25">
      <c r="A228" s="11"/>
      <c r="B228" s="11"/>
      <c r="C228" s="11"/>
      <c r="D228" s="11"/>
      <c r="E228" s="10"/>
      <c r="F228" s="10"/>
      <c r="G228" s="10"/>
      <c r="H228" s="10"/>
      <c r="I228" s="10"/>
      <c r="J228" s="10"/>
      <c r="K228" s="10"/>
      <c r="L228" s="11"/>
      <c r="M228" s="360">
        <f t="shared" si="92"/>
        <v>223</v>
      </c>
      <c r="N228" s="111">
        <f t="shared" si="84"/>
        <v>9.6500000000000002E-2</v>
      </c>
      <c r="O228" s="119">
        <f t="shared" si="85"/>
        <v>0</v>
      </c>
      <c r="P228" s="110">
        <f t="shared" si="86"/>
        <v>0</v>
      </c>
      <c r="Q228" s="110">
        <f t="shared" si="87"/>
        <v>0</v>
      </c>
      <c r="R228" s="110">
        <f t="shared" si="88"/>
        <v>0</v>
      </c>
      <c r="S228" s="110">
        <f t="shared" si="89"/>
        <v>0</v>
      </c>
      <c r="T228" s="110"/>
      <c r="U228" s="110">
        <f>IF('Simulador CH BX+'!$D$18="Monto de crédito",$F$11*$F$15,O228*$F$15)</f>
        <v>0</v>
      </c>
      <c r="V228" s="110">
        <f>IF('Simulador CH BX+'!$D$17="Valor Destructible",IF(O228-$F$18&lt;0,0,$F$18),IF(M228&gt;$F$8,0,MAX(O228,$F$10)*$F$17))</f>
        <v>0</v>
      </c>
      <c r="W228" s="110">
        <f t="shared" si="90"/>
        <v>0</v>
      </c>
      <c r="X228" s="110">
        <f t="shared" si="91"/>
        <v>0</v>
      </c>
      <c r="Y228" s="361">
        <f>'Simulador CH BX+'!M261</f>
        <v>0</v>
      </c>
      <c r="Z228" s="11"/>
      <c r="AA228" s="151">
        <f t="shared" si="100"/>
        <v>0</v>
      </c>
      <c r="AB228" s="110">
        <f t="shared" si="93"/>
        <v>0</v>
      </c>
      <c r="AC228" s="110">
        <f t="shared" si="94"/>
        <v>0</v>
      </c>
      <c r="AD228" s="110">
        <f t="shared" si="96"/>
        <v>0</v>
      </c>
      <c r="AE228" s="110">
        <f t="shared" si="95"/>
        <v>0</v>
      </c>
      <c r="AF228" s="110">
        <f>IF('Simulador CH BX+'!$D$18="Monto de crédito",$F$11*$F$15,AA228*$F$15)</f>
        <v>0</v>
      </c>
      <c r="AG228" s="110">
        <f>IF('Simulador CH BX+'!$D$17="Valor Destructible",IF(M228&gt;$F$8,0,$F$20),IF(M228&gt;$F$8,0,MAX(AA228,$F$10)*$F$19))</f>
        <v>0</v>
      </c>
      <c r="AH228" s="110">
        <f t="shared" si="97"/>
        <v>299</v>
      </c>
      <c r="AI228" s="110">
        <f t="shared" si="98"/>
        <v>299</v>
      </c>
      <c r="AJ228" s="361">
        <f t="shared" si="99"/>
        <v>299</v>
      </c>
    </row>
    <row r="229" spans="1:36" s="6" customFormat="1" ht="13.5" customHeight="1" x14ac:dyDescent="0.25">
      <c r="A229" s="11"/>
      <c r="B229" s="11"/>
      <c r="C229" s="11"/>
      <c r="D229" s="11"/>
      <c r="E229" s="10"/>
      <c r="F229" s="10"/>
      <c r="G229" s="10"/>
      <c r="H229" s="10"/>
      <c r="I229" s="10"/>
      <c r="J229" s="10"/>
      <c r="K229" s="10"/>
      <c r="L229" s="11"/>
      <c r="M229" s="360">
        <f t="shared" si="92"/>
        <v>224</v>
      </c>
      <c r="N229" s="111">
        <f t="shared" si="84"/>
        <v>9.6500000000000002E-2</v>
      </c>
      <c r="O229" s="119">
        <f t="shared" si="85"/>
        <v>0</v>
      </c>
      <c r="P229" s="110">
        <f t="shared" si="86"/>
        <v>0</v>
      </c>
      <c r="Q229" s="110">
        <f t="shared" si="87"/>
        <v>0</v>
      </c>
      <c r="R229" s="110">
        <f t="shared" si="88"/>
        <v>0</v>
      </c>
      <c r="S229" s="110">
        <f t="shared" si="89"/>
        <v>0</v>
      </c>
      <c r="T229" s="110"/>
      <c r="U229" s="110">
        <f>IF('Simulador CH BX+'!$D$18="Monto de crédito",$F$11*$F$15,O229*$F$15)</f>
        <v>0</v>
      </c>
      <c r="V229" s="110">
        <f>IF('Simulador CH BX+'!$D$17="Valor Destructible",IF(O229-$F$18&lt;0,0,$F$18),IF(M229&gt;$F$8,0,MAX(O229,$F$10)*$F$17))</f>
        <v>0</v>
      </c>
      <c r="W229" s="110">
        <f t="shared" si="90"/>
        <v>0</v>
      </c>
      <c r="X229" s="110">
        <f t="shared" si="91"/>
        <v>0</v>
      </c>
      <c r="Y229" s="361">
        <f>'Simulador CH BX+'!M262</f>
        <v>0</v>
      </c>
      <c r="Z229" s="11"/>
      <c r="AA229" s="151">
        <f t="shared" si="100"/>
        <v>0</v>
      </c>
      <c r="AB229" s="110">
        <f t="shared" si="93"/>
        <v>0</v>
      </c>
      <c r="AC229" s="110">
        <f t="shared" si="94"/>
        <v>0</v>
      </c>
      <c r="AD229" s="110">
        <f t="shared" si="96"/>
        <v>0</v>
      </c>
      <c r="AE229" s="110">
        <f t="shared" si="95"/>
        <v>0</v>
      </c>
      <c r="AF229" s="110">
        <f>IF('Simulador CH BX+'!$D$18="Monto de crédito",$F$11*$F$15,AA229*$F$15)</f>
        <v>0</v>
      </c>
      <c r="AG229" s="110">
        <f>IF('Simulador CH BX+'!$D$17="Valor Destructible",IF(M229&gt;$F$8,0,$F$20),IF(M229&gt;$F$8,0,MAX(AA229,$F$10)*$F$19))</f>
        <v>0</v>
      </c>
      <c r="AH229" s="110">
        <f t="shared" si="97"/>
        <v>299</v>
      </c>
      <c r="AI229" s="110">
        <f t="shared" si="98"/>
        <v>299</v>
      </c>
      <c r="AJ229" s="361">
        <f t="shared" si="99"/>
        <v>299</v>
      </c>
    </row>
    <row r="230" spans="1:36" s="6" customFormat="1" ht="13.5" customHeight="1" x14ac:dyDescent="0.25">
      <c r="A230" s="11"/>
      <c r="B230" s="11"/>
      <c r="C230" s="11"/>
      <c r="D230" s="11"/>
      <c r="E230" s="10"/>
      <c r="F230" s="10"/>
      <c r="G230" s="10"/>
      <c r="H230" s="10"/>
      <c r="I230" s="10"/>
      <c r="J230" s="10"/>
      <c r="K230" s="10"/>
      <c r="L230" s="11"/>
      <c r="M230" s="360">
        <f t="shared" si="92"/>
        <v>225</v>
      </c>
      <c r="N230" s="111">
        <f t="shared" si="84"/>
        <v>9.6500000000000002E-2</v>
      </c>
      <c r="O230" s="119">
        <f t="shared" si="85"/>
        <v>0</v>
      </c>
      <c r="P230" s="110">
        <f t="shared" si="86"/>
        <v>0</v>
      </c>
      <c r="Q230" s="110">
        <f t="shared" si="87"/>
        <v>0</v>
      </c>
      <c r="R230" s="110">
        <f t="shared" si="88"/>
        <v>0</v>
      </c>
      <c r="S230" s="110">
        <f t="shared" si="89"/>
        <v>0</v>
      </c>
      <c r="T230" s="110"/>
      <c r="U230" s="110">
        <f>IF('Simulador CH BX+'!$D$18="Monto de crédito",$F$11*$F$15,O230*$F$15)</f>
        <v>0</v>
      </c>
      <c r="V230" s="110">
        <f>IF('Simulador CH BX+'!$D$17="Valor Destructible",IF(O230-$F$18&lt;0,0,$F$18),IF(M230&gt;$F$8,0,MAX(O230,$F$10)*$F$17))</f>
        <v>0</v>
      </c>
      <c r="W230" s="110">
        <f t="shared" si="90"/>
        <v>0</v>
      </c>
      <c r="X230" s="110">
        <f t="shared" si="91"/>
        <v>0</v>
      </c>
      <c r="Y230" s="361">
        <f>'Simulador CH BX+'!M263</f>
        <v>0</v>
      </c>
      <c r="Z230" s="11"/>
      <c r="AA230" s="151">
        <f t="shared" si="100"/>
        <v>0</v>
      </c>
      <c r="AB230" s="110">
        <f t="shared" si="93"/>
        <v>0</v>
      </c>
      <c r="AC230" s="110">
        <f t="shared" si="94"/>
        <v>0</v>
      </c>
      <c r="AD230" s="110">
        <f t="shared" si="96"/>
        <v>0</v>
      </c>
      <c r="AE230" s="110">
        <f t="shared" si="95"/>
        <v>0</v>
      </c>
      <c r="AF230" s="110">
        <f>IF('Simulador CH BX+'!$D$18="Monto de crédito",$F$11*$F$15,AA230*$F$15)</f>
        <v>0</v>
      </c>
      <c r="AG230" s="110">
        <f>IF('Simulador CH BX+'!$D$17="Valor Destructible",IF(M230&gt;$F$8,0,$F$20),IF(M230&gt;$F$8,0,MAX(AA230,$F$10)*$F$19))</f>
        <v>0</v>
      </c>
      <c r="AH230" s="110">
        <f t="shared" si="97"/>
        <v>299</v>
      </c>
      <c r="AI230" s="110">
        <f t="shared" si="98"/>
        <v>299</v>
      </c>
      <c r="AJ230" s="361">
        <f t="shared" si="99"/>
        <v>299</v>
      </c>
    </row>
    <row r="231" spans="1:36" s="6" customFormat="1" ht="13.5" customHeight="1" x14ac:dyDescent="0.25">
      <c r="A231" s="11"/>
      <c r="B231" s="11"/>
      <c r="C231" s="11"/>
      <c r="D231" s="11"/>
      <c r="E231" s="10"/>
      <c r="F231" s="10"/>
      <c r="G231" s="10"/>
      <c r="H231" s="10"/>
      <c r="I231" s="10"/>
      <c r="J231" s="10"/>
      <c r="K231" s="10"/>
      <c r="L231" s="11"/>
      <c r="M231" s="360">
        <f t="shared" si="92"/>
        <v>226</v>
      </c>
      <c r="N231" s="111">
        <f t="shared" si="84"/>
        <v>9.6500000000000002E-2</v>
      </c>
      <c r="O231" s="119">
        <f t="shared" si="85"/>
        <v>0</v>
      </c>
      <c r="P231" s="110">
        <f t="shared" si="86"/>
        <v>0</v>
      </c>
      <c r="Q231" s="110">
        <f t="shared" si="87"/>
        <v>0</v>
      </c>
      <c r="R231" s="110">
        <f t="shared" si="88"/>
        <v>0</v>
      </c>
      <c r="S231" s="110">
        <f t="shared" si="89"/>
        <v>0</v>
      </c>
      <c r="T231" s="110"/>
      <c r="U231" s="110">
        <f>IF('Simulador CH BX+'!$D$18="Monto de crédito",$F$11*$F$15,O231*$F$15)</f>
        <v>0</v>
      </c>
      <c r="V231" s="110">
        <f>IF('Simulador CH BX+'!$D$17="Valor Destructible",IF(O231-$F$18&lt;0,0,$F$18),IF(M231&gt;$F$8,0,MAX(O231,$F$10)*$F$17))</f>
        <v>0</v>
      </c>
      <c r="W231" s="110">
        <f t="shared" si="90"/>
        <v>0</v>
      </c>
      <c r="X231" s="110">
        <f t="shared" si="91"/>
        <v>0</v>
      </c>
      <c r="Y231" s="361">
        <f>'Simulador CH BX+'!M264</f>
        <v>0</v>
      </c>
      <c r="Z231" s="11"/>
      <c r="AA231" s="151">
        <f t="shared" si="100"/>
        <v>0</v>
      </c>
      <c r="AB231" s="110">
        <f t="shared" si="93"/>
        <v>0</v>
      </c>
      <c r="AC231" s="110">
        <f t="shared" si="94"/>
        <v>0</v>
      </c>
      <c r="AD231" s="110">
        <f t="shared" si="96"/>
        <v>0</v>
      </c>
      <c r="AE231" s="110">
        <f t="shared" si="95"/>
        <v>0</v>
      </c>
      <c r="AF231" s="110">
        <f>IF('Simulador CH BX+'!$D$18="Monto de crédito",$F$11*$F$15,AA231*$F$15)</f>
        <v>0</v>
      </c>
      <c r="AG231" s="110">
        <f>IF('Simulador CH BX+'!$D$17="Valor Destructible",IF(M231&gt;$F$8,0,$F$20),IF(M231&gt;$F$8,0,MAX(AA231,$F$10)*$F$19))</f>
        <v>0</v>
      </c>
      <c r="AH231" s="110">
        <f t="shared" si="97"/>
        <v>299</v>
      </c>
      <c r="AI231" s="110">
        <f t="shared" si="98"/>
        <v>299</v>
      </c>
      <c r="AJ231" s="361">
        <f t="shared" si="99"/>
        <v>299</v>
      </c>
    </row>
    <row r="232" spans="1:36" s="6" customFormat="1" ht="13.5" customHeight="1" x14ac:dyDescent="0.25">
      <c r="A232" s="11"/>
      <c r="B232" s="11"/>
      <c r="C232" s="11"/>
      <c r="D232" s="11"/>
      <c r="E232" s="10"/>
      <c r="F232" s="10"/>
      <c r="G232" s="10"/>
      <c r="H232" s="10"/>
      <c r="I232" s="10"/>
      <c r="J232" s="10"/>
      <c r="K232" s="10"/>
      <c r="L232" s="11"/>
      <c r="M232" s="360">
        <f t="shared" si="92"/>
        <v>227</v>
      </c>
      <c r="N232" s="111">
        <f t="shared" si="84"/>
        <v>9.6500000000000002E-2</v>
      </c>
      <c r="O232" s="119">
        <f t="shared" si="85"/>
        <v>0</v>
      </c>
      <c r="P232" s="110">
        <f t="shared" si="86"/>
        <v>0</v>
      </c>
      <c r="Q232" s="110">
        <f t="shared" si="87"/>
        <v>0</v>
      </c>
      <c r="R232" s="110">
        <f t="shared" si="88"/>
        <v>0</v>
      </c>
      <c r="S232" s="110">
        <f t="shared" si="89"/>
        <v>0</v>
      </c>
      <c r="T232" s="110"/>
      <c r="U232" s="110">
        <f>IF('Simulador CH BX+'!$D$18="Monto de crédito",$F$11*$F$15,O232*$F$15)</f>
        <v>0</v>
      </c>
      <c r="V232" s="110">
        <f>IF('Simulador CH BX+'!$D$17="Valor Destructible",IF(O232-$F$18&lt;0,0,$F$18),IF(M232&gt;$F$8,0,MAX(O232,$F$10)*$F$17))</f>
        <v>0</v>
      </c>
      <c r="W232" s="110">
        <f t="shared" si="90"/>
        <v>0</v>
      </c>
      <c r="X232" s="110">
        <f t="shared" si="91"/>
        <v>0</v>
      </c>
      <c r="Y232" s="361">
        <f>'Simulador CH BX+'!M265</f>
        <v>0</v>
      </c>
      <c r="Z232" s="11"/>
      <c r="AA232" s="151">
        <f t="shared" si="100"/>
        <v>0</v>
      </c>
      <c r="AB232" s="110">
        <f t="shared" si="93"/>
        <v>0</v>
      </c>
      <c r="AC232" s="110">
        <f t="shared" si="94"/>
        <v>0</v>
      </c>
      <c r="AD232" s="110">
        <f t="shared" si="96"/>
        <v>0</v>
      </c>
      <c r="AE232" s="110">
        <f t="shared" si="95"/>
        <v>0</v>
      </c>
      <c r="AF232" s="110">
        <f>IF('Simulador CH BX+'!$D$18="Monto de crédito",$F$11*$F$15,AA232*$F$15)</f>
        <v>0</v>
      </c>
      <c r="AG232" s="110">
        <f>IF('Simulador CH BX+'!$D$17="Valor Destructible",IF(M232&gt;$F$8,0,$F$20),IF(M232&gt;$F$8,0,MAX(AA232,$F$10)*$F$19))</f>
        <v>0</v>
      </c>
      <c r="AH232" s="110">
        <f t="shared" si="97"/>
        <v>299</v>
      </c>
      <c r="AI232" s="110">
        <f t="shared" si="98"/>
        <v>299</v>
      </c>
      <c r="AJ232" s="361">
        <f t="shared" si="99"/>
        <v>299</v>
      </c>
    </row>
    <row r="233" spans="1:36" s="6" customFormat="1" ht="13.5" customHeight="1" x14ac:dyDescent="0.25">
      <c r="A233" s="11"/>
      <c r="B233" s="11"/>
      <c r="C233" s="11"/>
      <c r="D233" s="11"/>
      <c r="E233" s="10"/>
      <c r="F233" s="10"/>
      <c r="G233" s="10"/>
      <c r="H233" s="10"/>
      <c r="I233" s="10"/>
      <c r="J233" s="10"/>
      <c r="K233" s="10"/>
      <c r="L233" s="11"/>
      <c r="M233" s="103">
        <f t="shared" si="92"/>
        <v>228</v>
      </c>
      <c r="N233" s="104">
        <f t="shared" si="84"/>
        <v>9.6500000000000002E-2</v>
      </c>
      <c r="O233" s="105">
        <f t="shared" si="85"/>
        <v>0</v>
      </c>
      <c r="P233" s="106">
        <f t="shared" si="86"/>
        <v>0</v>
      </c>
      <c r="Q233" s="106">
        <f t="shared" si="87"/>
        <v>0</v>
      </c>
      <c r="R233" s="106">
        <f t="shared" si="88"/>
        <v>0</v>
      </c>
      <c r="S233" s="106">
        <f t="shared" si="89"/>
        <v>0</v>
      </c>
      <c r="T233" s="106"/>
      <c r="U233" s="106">
        <f>IF('Simulador CH BX+'!$D$18="Monto de crédito",$F$11*$F$15,O233*$F$15)</f>
        <v>0</v>
      </c>
      <c r="V233" s="106">
        <f>IF('Simulador CH BX+'!$D$17="Valor Destructible",IF(O233-$F$18&lt;0,0,$F$18),IF(M233&gt;$F$8,0,MAX(O233,$F$10)*$F$17))</f>
        <v>0</v>
      </c>
      <c r="W233" s="106">
        <f t="shared" si="90"/>
        <v>0</v>
      </c>
      <c r="X233" s="106">
        <f t="shared" si="91"/>
        <v>0</v>
      </c>
      <c r="Y233" s="107">
        <f>'Simulador CH BX+'!M266</f>
        <v>0</v>
      </c>
      <c r="Z233" s="11"/>
      <c r="AA233" s="150">
        <f t="shared" si="100"/>
        <v>0</v>
      </c>
      <c r="AB233" s="106">
        <f t="shared" si="93"/>
        <v>0</v>
      </c>
      <c r="AC233" s="106">
        <f t="shared" si="94"/>
        <v>0</v>
      </c>
      <c r="AD233" s="106">
        <f t="shared" si="96"/>
        <v>0</v>
      </c>
      <c r="AE233" s="106">
        <f t="shared" si="95"/>
        <v>0</v>
      </c>
      <c r="AF233" s="106">
        <f>IF('Simulador CH BX+'!$D$18="Monto de crédito",$F$11*$F$15,AA233*$F$15)</f>
        <v>0</v>
      </c>
      <c r="AG233" s="106">
        <f>IF('Simulador CH BX+'!$D$17="Valor Destructible",IF(M233&gt;$F$8,0,$F$20),IF(M233&gt;$F$8,0,MAX(AA233,$F$10)*$F$19))</f>
        <v>0</v>
      </c>
      <c r="AH233" s="106">
        <f t="shared" si="97"/>
        <v>299</v>
      </c>
      <c r="AI233" s="106">
        <f t="shared" si="98"/>
        <v>299</v>
      </c>
      <c r="AJ233" s="107">
        <f t="shared" si="99"/>
        <v>299</v>
      </c>
    </row>
    <row r="234" spans="1:36" s="6" customFormat="1" ht="13.5" customHeight="1" x14ac:dyDescent="0.25">
      <c r="A234" s="11"/>
      <c r="B234" s="11"/>
      <c r="C234" s="11"/>
      <c r="D234" s="11"/>
      <c r="E234" s="10"/>
      <c r="F234" s="10"/>
      <c r="G234" s="10"/>
      <c r="H234" s="10"/>
      <c r="I234" s="10"/>
      <c r="J234" s="10"/>
      <c r="K234" s="10"/>
      <c r="L234" s="11"/>
      <c r="M234" s="360">
        <f t="shared" si="92"/>
        <v>229</v>
      </c>
      <c r="N234" s="111">
        <f t="shared" si="84"/>
        <v>9.6500000000000002E-2</v>
      </c>
      <c r="O234" s="119">
        <f t="shared" si="85"/>
        <v>0</v>
      </c>
      <c r="P234" s="110">
        <f t="shared" si="86"/>
        <v>0</v>
      </c>
      <c r="Q234" s="110">
        <f t="shared" si="87"/>
        <v>0</v>
      </c>
      <c r="R234" s="110">
        <f t="shared" si="88"/>
        <v>0</v>
      </c>
      <c r="S234" s="110">
        <f t="shared" si="89"/>
        <v>0</v>
      </c>
      <c r="T234" s="110"/>
      <c r="U234" s="110">
        <f>IF('Simulador CH BX+'!$D$18="Monto de crédito",$F$11*$F$15,O234*$F$15)</f>
        <v>0</v>
      </c>
      <c r="V234" s="110">
        <f>IF('Simulador CH BX+'!$D$17="Valor Destructible",IF(O234-$F$18&lt;0,0,$F$18),IF(M234&gt;$F$8,0,MAX(O234,$F$10)*$F$17))</f>
        <v>0</v>
      </c>
      <c r="W234" s="110">
        <f t="shared" si="90"/>
        <v>0</v>
      </c>
      <c r="X234" s="110">
        <f t="shared" si="91"/>
        <v>0</v>
      </c>
      <c r="Y234" s="361">
        <f>'Simulador CH BX+'!M267</f>
        <v>0</v>
      </c>
      <c r="Z234" s="11"/>
      <c r="AA234" s="151">
        <f t="shared" si="100"/>
        <v>0</v>
      </c>
      <c r="AB234" s="110">
        <f t="shared" si="93"/>
        <v>0</v>
      </c>
      <c r="AC234" s="110">
        <f t="shared" si="94"/>
        <v>0</v>
      </c>
      <c r="AD234" s="110">
        <f t="shared" si="96"/>
        <v>0</v>
      </c>
      <c r="AE234" s="110">
        <f t="shared" si="95"/>
        <v>0</v>
      </c>
      <c r="AF234" s="110">
        <f>IF('Simulador CH BX+'!$D$18="Monto de crédito",$F$11*$F$15,AA234*$F$15)</f>
        <v>0</v>
      </c>
      <c r="AG234" s="110">
        <f>IF('Simulador CH BX+'!$D$17="Valor Destructible",IF(M234&gt;$F$8,0,$F$20),IF(M234&gt;$F$8,0,MAX(AA234,$F$10)*$F$19))</f>
        <v>0</v>
      </c>
      <c r="AH234" s="110">
        <f t="shared" si="97"/>
        <v>299</v>
      </c>
      <c r="AI234" s="110">
        <f t="shared" si="98"/>
        <v>299</v>
      </c>
      <c r="AJ234" s="361">
        <f t="shared" si="99"/>
        <v>299</v>
      </c>
    </row>
    <row r="235" spans="1:36" s="6" customFormat="1" ht="13.5" customHeight="1" x14ac:dyDescent="0.25">
      <c r="A235" s="11"/>
      <c r="B235" s="11"/>
      <c r="C235" s="11"/>
      <c r="D235" s="11"/>
      <c r="E235" s="10"/>
      <c r="F235" s="10"/>
      <c r="G235" s="10"/>
      <c r="H235" s="10"/>
      <c r="I235" s="10"/>
      <c r="J235" s="10"/>
      <c r="K235" s="10"/>
      <c r="L235" s="11"/>
      <c r="M235" s="360">
        <f t="shared" si="92"/>
        <v>230</v>
      </c>
      <c r="N235" s="111">
        <f t="shared" si="84"/>
        <v>9.6500000000000002E-2</v>
      </c>
      <c r="O235" s="119">
        <f t="shared" si="85"/>
        <v>0</v>
      </c>
      <c r="P235" s="110">
        <f t="shared" si="86"/>
        <v>0</v>
      </c>
      <c r="Q235" s="110">
        <f t="shared" si="87"/>
        <v>0</v>
      </c>
      <c r="R235" s="110">
        <f t="shared" si="88"/>
        <v>0</v>
      </c>
      <c r="S235" s="110">
        <f t="shared" si="89"/>
        <v>0</v>
      </c>
      <c r="T235" s="110"/>
      <c r="U235" s="110">
        <f>IF('Simulador CH BX+'!$D$18="Monto de crédito",$F$11*$F$15,O235*$F$15)</f>
        <v>0</v>
      </c>
      <c r="V235" s="110">
        <f>IF('Simulador CH BX+'!$D$17="Valor Destructible",IF(O235-$F$18&lt;0,0,$F$18),IF(M235&gt;$F$8,0,MAX(O235,$F$10)*$F$17))</f>
        <v>0</v>
      </c>
      <c r="W235" s="110">
        <f t="shared" si="90"/>
        <v>0</v>
      </c>
      <c r="X235" s="110">
        <f t="shared" si="91"/>
        <v>0</v>
      </c>
      <c r="Y235" s="361">
        <f>'Simulador CH BX+'!M268</f>
        <v>0</v>
      </c>
      <c r="Z235" s="11"/>
      <c r="AA235" s="151">
        <f t="shared" si="100"/>
        <v>0</v>
      </c>
      <c r="AB235" s="110">
        <f t="shared" si="93"/>
        <v>0</v>
      </c>
      <c r="AC235" s="110">
        <f t="shared" si="94"/>
        <v>0</v>
      </c>
      <c r="AD235" s="110">
        <f t="shared" si="96"/>
        <v>0</v>
      </c>
      <c r="AE235" s="110">
        <f t="shared" si="95"/>
        <v>0</v>
      </c>
      <c r="AF235" s="110">
        <f>IF('Simulador CH BX+'!$D$18="Monto de crédito",$F$11*$F$15,AA235*$F$15)</f>
        <v>0</v>
      </c>
      <c r="AG235" s="110">
        <f>IF('Simulador CH BX+'!$D$17="Valor Destructible",IF(M235&gt;$F$8,0,$F$20),IF(M235&gt;$F$8,0,MAX(AA235,$F$10)*$F$19))</f>
        <v>0</v>
      </c>
      <c r="AH235" s="110">
        <f t="shared" si="97"/>
        <v>299</v>
      </c>
      <c r="AI235" s="110">
        <f t="shared" si="98"/>
        <v>299</v>
      </c>
      <c r="AJ235" s="361">
        <f t="shared" si="99"/>
        <v>299</v>
      </c>
    </row>
    <row r="236" spans="1:36" s="6" customFormat="1" ht="13.5" customHeight="1" x14ac:dyDescent="0.25">
      <c r="A236" s="11"/>
      <c r="B236" s="11"/>
      <c r="C236" s="11"/>
      <c r="D236" s="11"/>
      <c r="E236" s="10"/>
      <c r="F236" s="10"/>
      <c r="G236" s="10"/>
      <c r="H236" s="10"/>
      <c r="I236" s="10"/>
      <c r="J236" s="10"/>
      <c r="K236" s="10"/>
      <c r="L236" s="11"/>
      <c r="M236" s="360">
        <f t="shared" si="92"/>
        <v>231</v>
      </c>
      <c r="N236" s="111">
        <f t="shared" si="84"/>
        <v>9.6500000000000002E-2</v>
      </c>
      <c r="O236" s="119">
        <f t="shared" si="85"/>
        <v>0</v>
      </c>
      <c r="P236" s="110">
        <f t="shared" si="86"/>
        <v>0</v>
      </c>
      <c r="Q236" s="110">
        <f t="shared" si="87"/>
        <v>0</v>
      </c>
      <c r="R236" s="110">
        <f t="shared" si="88"/>
        <v>0</v>
      </c>
      <c r="S236" s="110">
        <f t="shared" si="89"/>
        <v>0</v>
      </c>
      <c r="T236" s="110"/>
      <c r="U236" s="110">
        <f>IF('Simulador CH BX+'!$D$18="Monto de crédito",$F$11*$F$15,O236*$F$15)</f>
        <v>0</v>
      </c>
      <c r="V236" s="110">
        <f>IF('Simulador CH BX+'!$D$17="Valor Destructible",IF(O236-$F$18&lt;0,0,$F$18),IF(M236&gt;$F$8,0,MAX(O236,$F$10)*$F$17))</f>
        <v>0</v>
      </c>
      <c r="W236" s="110">
        <f t="shared" si="90"/>
        <v>0</v>
      </c>
      <c r="X236" s="110">
        <f t="shared" si="91"/>
        <v>0</v>
      </c>
      <c r="Y236" s="361">
        <f>'Simulador CH BX+'!M269</f>
        <v>0</v>
      </c>
      <c r="Z236" s="11"/>
      <c r="AA236" s="151">
        <f t="shared" si="100"/>
        <v>0</v>
      </c>
      <c r="AB236" s="110">
        <f t="shared" si="93"/>
        <v>0</v>
      </c>
      <c r="AC236" s="110">
        <f t="shared" si="94"/>
        <v>0</v>
      </c>
      <c r="AD236" s="110">
        <f t="shared" si="96"/>
        <v>0</v>
      </c>
      <c r="AE236" s="110">
        <f t="shared" si="95"/>
        <v>0</v>
      </c>
      <c r="AF236" s="110">
        <f>IF('Simulador CH BX+'!$D$18="Monto de crédito",$F$11*$F$15,AA236*$F$15)</f>
        <v>0</v>
      </c>
      <c r="AG236" s="110">
        <f>IF('Simulador CH BX+'!$D$17="Valor Destructible",IF(M236&gt;$F$8,0,$F$20),IF(M236&gt;$F$8,0,MAX(AA236,$F$10)*$F$19))</f>
        <v>0</v>
      </c>
      <c r="AH236" s="110">
        <f t="shared" si="97"/>
        <v>299</v>
      </c>
      <c r="AI236" s="110">
        <f t="shared" si="98"/>
        <v>299</v>
      </c>
      <c r="AJ236" s="361">
        <f t="shared" si="99"/>
        <v>299</v>
      </c>
    </row>
    <row r="237" spans="1:36" s="6" customFormat="1" ht="13.5" customHeight="1" x14ac:dyDescent="0.25">
      <c r="A237" s="11"/>
      <c r="B237" s="11"/>
      <c r="C237" s="11"/>
      <c r="D237" s="11"/>
      <c r="E237" s="10"/>
      <c r="F237" s="10"/>
      <c r="G237" s="10"/>
      <c r="H237" s="10"/>
      <c r="I237" s="10"/>
      <c r="J237" s="10"/>
      <c r="K237" s="10"/>
      <c r="L237" s="11"/>
      <c r="M237" s="360">
        <f t="shared" si="92"/>
        <v>232</v>
      </c>
      <c r="N237" s="111">
        <f t="shared" si="84"/>
        <v>9.6500000000000002E-2</v>
      </c>
      <c r="O237" s="119">
        <f t="shared" si="85"/>
        <v>0</v>
      </c>
      <c r="P237" s="110">
        <f t="shared" si="86"/>
        <v>0</v>
      </c>
      <c r="Q237" s="110">
        <f t="shared" si="87"/>
        <v>0</v>
      </c>
      <c r="R237" s="110">
        <f t="shared" si="88"/>
        <v>0</v>
      </c>
      <c r="S237" s="110">
        <f t="shared" si="89"/>
        <v>0</v>
      </c>
      <c r="T237" s="110"/>
      <c r="U237" s="110">
        <f>IF('Simulador CH BX+'!$D$18="Monto de crédito",$F$11*$F$15,O237*$F$15)</f>
        <v>0</v>
      </c>
      <c r="V237" s="110">
        <f>IF('Simulador CH BX+'!$D$17="Valor Destructible",IF(O237-$F$18&lt;0,0,$F$18),IF(M237&gt;$F$8,0,MAX(O237,$F$10)*$F$17))</f>
        <v>0</v>
      </c>
      <c r="W237" s="110">
        <f t="shared" si="90"/>
        <v>0</v>
      </c>
      <c r="X237" s="110">
        <f t="shared" si="91"/>
        <v>0</v>
      </c>
      <c r="Y237" s="361">
        <f>'Simulador CH BX+'!M270</f>
        <v>0</v>
      </c>
      <c r="Z237" s="11"/>
      <c r="AA237" s="151">
        <f t="shared" si="100"/>
        <v>0</v>
      </c>
      <c r="AB237" s="110">
        <f t="shared" si="93"/>
        <v>0</v>
      </c>
      <c r="AC237" s="110">
        <f t="shared" si="94"/>
        <v>0</v>
      </c>
      <c r="AD237" s="110">
        <f t="shared" si="96"/>
        <v>0</v>
      </c>
      <c r="AE237" s="110">
        <f t="shared" si="95"/>
        <v>0</v>
      </c>
      <c r="AF237" s="110">
        <f>IF('Simulador CH BX+'!$D$18="Monto de crédito",$F$11*$F$15,AA237*$F$15)</f>
        <v>0</v>
      </c>
      <c r="AG237" s="110">
        <f>IF('Simulador CH BX+'!$D$17="Valor Destructible",IF(M237&gt;$F$8,0,$F$20),IF(M237&gt;$F$8,0,MAX(AA237,$F$10)*$F$19))</f>
        <v>0</v>
      </c>
      <c r="AH237" s="110">
        <f t="shared" si="97"/>
        <v>299</v>
      </c>
      <c r="AI237" s="110">
        <f t="shared" si="98"/>
        <v>299</v>
      </c>
      <c r="AJ237" s="361">
        <f t="shared" si="99"/>
        <v>299</v>
      </c>
    </row>
    <row r="238" spans="1:36" s="6" customFormat="1" ht="13.5" customHeight="1" x14ac:dyDescent="0.25">
      <c r="A238" s="11"/>
      <c r="B238" s="11"/>
      <c r="C238" s="11"/>
      <c r="D238" s="11"/>
      <c r="E238" s="10"/>
      <c r="F238" s="10"/>
      <c r="G238" s="10"/>
      <c r="H238" s="10"/>
      <c r="I238" s="10"/>
      <c r="J238" s="10"/>
      <c r="K238" s="10"/>
      <c r="L238" s="11"/>
      <c r="M238" s="360">
        <f t="shared" si="92"/>
        <v>233</v>
      </c>
      <c r="N238" s="111">
        <f t="shared" si="84"/>
        <v>9.6500000000000002E-2</v>
      </c>
      <c r="O238" s="119">
        <f t="shared" si="85"/>
        <v>0</v>
      </c>
      <c r="P238" s="110">
        <f t="shared" si="86"/>
        <v>0</v>
      </c>
      <c r="Q238" s="110">
        <f t="shared" si="87"/>
        <v>0</v>
      </c>
      <c r="R238" s="110">
        <f t="shared" si="88"/>
        <v>0</v>
      </c>
      <c r="S238" s="110">
        <f t="shared" si="89"/>
        <v>0</v>
      </c>
      <c r="T238" s="110"/>
      <c r="U238" s="110">
        <f>IF('Simulador CH BX+'!$D$18="Monto de crédito",$F$11*$F$15,O238*$F$15)</f>
        <v>0</v>
      </c>
      <c r="V238" s="110">
        <f>IF('Simulador CH BX+'!$D$17="Valor Destructible",IF(O238-$F$18&lt;0,0,$F$18),IF(M238&gt;$F$8,0,MAX(O238,$F$10)*$F$17))</f>
        <v>0</v>
      </c>
      <c r="W238" s="110">
        <f t="shared" si="90"/>
        <v>0</v>
      </c>
      <c r="X238" s="110">
        <f t="shared" si="91"/>
        <v>0</v>
      </c>
      <c r="Y238" s="361">
        <f>'Simulador CH BX+'!M271</f>
        <v>0</v>
      </c>
      <c r="Z238" s="11"/>
      <c r="AA238" s="151">
        <f t="shared" si="100"/>
        <v>0</v>
      </c>
      <c r="AB238" s="110">
        <f t="shared" si="93"/>
        <v>0</v>
      </c>
      <c r="AC238" s="110">
        <f t="shared" si="94"/>
        <v>0</v>
      </c>
      <c r="AD238" s="110">
        <f t="shared" si="96"/>
        <v>0</v>
      </c>
      <c r="AE238" s="110">
        <f t="shared" si="95"/>
        <v>0</v>
      </c>
      <c r="AF238" s="110">
        <f>IF('Simulador CH BX+'!$D$18="Monto de crédito",$F$11*$F$15,AA238*$F$15)</f>
        <v>0</v>
      </c>
      <c r="AG238" s="110">
        <f>IF('Simulador CH BX+'!$D$17="Valor Destructible",IF(M238&gt;$F$8,0,$F$20),IF(M238&gt;$F$8,0,MAX(AA238,$F$10)*$F$19))</f>
        <v>0</v>
      </c>
      <c r="AH238" s="110">
        <f t="shared" si="97"/>
        <v>299</v>
      </c>
      <c r="AI238" s="110">
        <f t="shared" si="98"/>
        <v>299</v>
      </c>
      <c r="AJ238" s="361">
        <f t="shared" si="99"/>
        <v>299</v>
      </c>
    </row>
    <row r="239" spans="1:36" s="6" customFormat="1" ht="13.5" customHeight="1" x14ac:dyDescent="0.25">
      <c r="A239" s="11"/>
      <c r="B239" s="11"/>
      <c r="C239" s="11"/>
      <c r="D239" s="11"/>
      <c r="E239" s="10"/>
      <c r="F239" s="10"/>
      <c r="G239" s="10"/>
      <c r="H239" s="10"/>
      <c r="I239" s="10"/>
      <c r="J239" s="10"/>
      <c r="K239" s="10"/>
      <c r="L239" s="11"/>
      <c r="M239" s="360">
        <f t="shared" si="92"/>
        <v>234</v>
      </c>
      <c r="N239" s="111">
        <f t="shared" si="84"/>
        <v>9.6500000000000002E-2</v>
      </c>
      <c r="O239" s="119">
        <f t="shared" si="85"/>
        <v>0</v>
      </c>
      <c r="P239" s="110">
        <f t="shared" si="86"/>
        <v>0</v>
      </c>
      <c r="Q239" s="110">
        <f t="shared" si="87"/>
        <v>0</v>
      </c>
      <c r="R239" s="110">
        <f t="shared" si="88"/>
        <v>0</v>
      </c>
      <c r="S239" s="110">
        <f t="shared" si="89"/>
        <v>0</v>
      </c>
      <c r="T239" s="110"/>
      <c r="U239" s="110">
        <f>IF('Simulador CH BX+'!$D$18="Monto de crédito",$F$11*$F$15,O239*$F$15)</f>
        <v>0</v>
      </c>
      <c r="V239" s="110">
        <f>IF('Simulador CH BX+'!$D$17="Valor Destructible",IF(O239-$F$18&lt;0,0,$F$18),IF(M239&gt;$F$8,0,MAX(O239,$F$10)*$F$17))</f>
        <v>0</v>
      </c>
      <c r="W239" s="110">
        <f t="shared" si="90"/>
        <v>0</v>
      </c>
      <c r="X239" s="110">
        <f t="shared" si="91"/>
        <v>0</v>
      </c>
      <c r="Y239" s="361">
        <f>'Simulador CH BX+'!M272</f>
        <v>0</v>
      </c>
      <c r="Z239" s="11"/>
      <c r="AA239" s="151">
        <f t="shared" si="100"/>
        <v>0</v>
      </c>
      <c r="AB239" s="110">
        <f t="shared" si="93"/>
        <v>0</v>
      </c>
      <c r="AC239" s="110">
        <f t="shared" si="94"/>
        <v>0</v>
      </c>
      <c r="AD239" s="110">
        <f t="shared" si="96"/>
        <v>0</v>
      </c>
      <c r="AE239" s="110">
        <f t="shared" si="95"/>
        <v>0</v>
      </c>
      <c r="AF239" s="110">
        <f>IF('Simulador CH BX+'!$D$18="Monto de crédito",$F$11*$F$15,AA239*$F$15)</f>
        <v>0</v>
      </c>
      <c r="AG239" s="110">
        <f>IF('Simulador CH BX+'!$D$17="Valor Destructible",IF(M239&gt;$F$8,0,$F$20),IF(M239&gt;$F$8,0,MAX(AA239,$F$10)*$F$19))</f>
        <v>0</v>
      </c>
      <c r="AH239" s="110">
        <f t="shared" si="97"/>
        <v>299</v>
      </c>
      <c r="AI239" s="110">
        <f t="shared" si="98"/>
        <v>299</v>
      </c>
      <c r="AJ239" s="361">
        <f t="shared" si="99"/>
        <v>299</v>
      </c>
    </row>
    <row r="240" spans="1:36" s="6" customFormat="1" ht="13.5" customHeight="1" x14ac:dyDescent="0.25">
      <c r="A240" s="11"/>
      <c r="B240" s="11"/>
      <c r="C240" s="11"/>
      <c r="D240" s="11"/>
      <c r="E240" s="10"/>
      <c r="F240" s="10"/>
      <c r="G240" s="10"/>
      <c r="H240" s="10"/>
      <c r="I240" s="10"/>
      <c r="J240" s="10"/>
      <c r="K240" s="10"/>
      <c r="L240" s="11"/>
      <c r="M240" s="360">
        <f t="shared" si="92"/>
        <v>235</v>
      </c>
      <c r="N240" s="111">
        <f t="shared" si="84"/>
        <v>9.6500000000000002E-2</v>
      </c>
      <c r="O240" s="119">
        <f t="shared" si="85"/>
        <v>0</v>
      </c>
      <c r="P240" s="110">
        <f t="shared" si="86"/>
        <v>0</v>
      </c>
      <c r="Q240" s="110">
        <f t="shared" si="87"/>
        <v>0</v>
      </c>
      <c r="R240" s="110">
        <f t="shared" si="88"/>
        <v>0</v>
      </c>
      <c r="S240" s="110">
        <f t="shared" si="89"/>
        <v>0</v>
      </c>
      <c r="T240" s="110"/>
      <c r="U240" s="110">
        <f>IF('Simulador CH BX+'!$D$18="Monto de crédito",$F$11*$F$15,O240*$F$15)</f>
        <v>0</v>
      </c>
      <c r="V240" s="110">
        <f>IF('Simulador CH BX+'!$D$17="Valor Destructible",IF(O240-$F$18&lt;0,0,$F$18),IF(M240&gt;$F$8,0,MAX(O240,$F$10)*$F$17))</f>
        <v>0</v>
      </c>
      <c r="W240" s="110">
        <f t="shared" si="90"/>
        <v>0</v>
      </c>
      <c r="X240" s="110">
        <f t="shared" si="91"/>
        <v>0</v>
      </c>
      <c r="Y240" s="361">
        <f>'Simulador CH BX+'!M273</f>
        <v>0</v>
      </c>
      <c r="Z240" s="11"/>
      <c r="AA240" s="151">
        <f t="shared" si="100"/>
        <v>0</v>
      </c>
      <c r="AB240" s="110">
        <f t="shared" si="93"/>
        <v>0</v>
      </c>
      <c r="AC240" s="110">
        <f t="shared" si="94"/>
        <v>0</v>
      </c>
      <c r="AD240" s="110">
        <f t="shared" si="96"/>
        <v>0</v>
      </c>
      <c r="AE240" s="110">
        <f t="shared" si="95"/>
        <v>0</v>
      </c>
      <c r="AF240" s="110">
        <f>IF('Simulador CH BX+'!$D$18="Monto de crédito",$F$11*$F$15,AA240*$F$15)</f>
        <v>0</v>
      </c>
      <c r="AG240" s="110">
        <f>IF('Simulador CH BX+'!$D$17="Valor Destructible",IF(M240&gt;$F$8,0,$F$20),IF(M240&gt;$F$8,0,MAX(AA240,$F$10)*$F$19))</f>
        <v>0</v>
      </c>
      <c r="AH240" s="110">
        <f t="shared" si="97"/>
        <v>299</v>
      </c>
      <c r="AI240" s="110">
        <f t="shared" si="98"/>
        <v>299</v>
      </c>
      <c r="AJ240" s="361">
        <f t="shared" si="99"/>
        <v>299</v>
      </c>
    </row>
    <row r="241" spans="1:37" s="6" customFormat="1" ht="13.5" customHeight="1" x14ac:dyDescent="0.25">
      <c r="A241" s="11"/>
      <c r="B241" s="11"/>
      <c r="C241" s="11"/>
      <c r="D241" s="11"/>
      <c r="E241" s="10"/>
      <c r="F241" s="10"/>
      <c r="G241" s="10"/>
      <c r="H241" s="10"/>
      <c r="I241" s="10"/>
      <c r="J241" s="10"/>
      <c r="K241" s="10"/>
      <c r="L241" s="11"/>
      <c r="M241" s="360">
        <f>M240+1</f>
        <v>236</v>
      </c>
      <c r="N241" s="111">
        <f t="shared" si="84"/>
        <v>9.6500000000000002E-2</v>
      </c>
      <c r="O241" s="119">
        <f t="shared" si="85"/>
        <v>0</v>
      </c>
      <c r="P241" s="110">
        <f t="shared" si="86"/>
        <v>0</v>
      </c>
      <c r="Q241" s="110">
        <f t="shared" si="87"/>
        <v>0</v>
      </c>
      <c r="R241" s="110">
        <f t="shared" si="88"/>
        <v>0</v>
      </c>
      <c r="S241" s="110">
        <f t="shared" si="89"/>
        <v>0</v>
      </c>
      <c r="T241" s="110"/>
      <c r="U241" s="110">
        <f>IF('Simulador CH BX+'!$D$18="Monto de crédito",$F$11*$F$15,O241*$F$15)</f>
        <v>0</v>
      </c>
      <c r="V241" s="110">
        <f>IF('Simulador CH BX+'!$D$17="Valor Destructible",IF(O241-$F$18&lt;0,0,$F$18),IF(M241&gt;$F$8,0,MAX(O241,$F$10)*$F$17))</f>
        <v>0</v>
      </c>
      <c r="W241" s="110">
        <f t="shared" si="90"/>
        <v>0</v>
      </c>
      <c r="X241" s="110">
        <f t="shared" si="91"/>
        <v>0</v>
      </c>
      <c r="Y241" s="361">
        <f>'Simulador CH BX+'!M274</f>
        <v>0</v>
      </c>
      <c r="Z241" s="11"/>
      <c r="AA241" s="151">
        <f t="shared" si="100"/>
        <v>0</v>
      </c>
      <c r="AB241" s="110">
        <f t="shared" si="93"/>
        <v>0</v>
      </c>
      <c r="AC241" s="110">
        <f t="shared" si="94"/>
        <v>0</v>
      </c>
      <c r="AD241" s="110">
        <f t="shared" si="96"/>
        <v>0</v>
      </c>
      <c r="AE241" s="110">
        <f t="shared" si="95"/>
        <v>0</v>
      </c>
      <c r="AF241" s="110">
        <f>IF('Simulador CH BX+'!$D$18="Monto de crédito",$F$11*$F$15,AA241*$F$15)</f>
        <v>0</v>
      </c>
      <c r="AG241" s="110">
        <f>IF('Simulador CH BX+'!$D$17="Valor Destructible",IF(M241&gt;$F$8,0,$F$20),IF(M241&gt;$F$8,0,MAX(AA241,$F$10)*$F$19))</f>
        <v>0</v>
      </c>
      <c r="AH241" s="110">
        <f t="shared" si="97"/>
        <v>299</v>
      </c>
      <c r="AI241" s="110">
        <f t="shared" si="98"/>
        <v>299</v>
      </c>
      <c r="AJ241" s="361">
        <f t="shared" si="99"/>
        <v>299</v>
      </c>
    </row>
    <row r="242" spans="1:37" s="6" customFormat="1" ht="13.5" customHeight="1" x14ac:dyDescent="0.25">
      <c r="A242" s="11"/>
      <c r="B242" s="11"/>
      <c r="C242" s="11"/>
      <c r="D242" s="11"/>
      <c r="E242" s="10"/>
      <c r="F242" s="10"/>
      <c r="G242" s="10"/>
      <c r="H242" s="10"/>
      <c r="I242" s="10"/>
      <c r="J242" s="10"/>
      <c r="K242" s="10"/>
      <c r="L242" s="11"/>
      <c r="M242" s="360">
        <f t="shared" ref="M242:M245" si="101">M241+1</f>
        <v>237</v>
      </c>
      <c r="N242" s="111">
        <f t="shared" si="84"/>
        <v>9.6500000000000002E-2</v>
      </c>
      <c r="O242" s="119">
        <f t="shared" si="85"/>
        <v>0</v>
      </c>
      <c r="P242" s="110">
        <f t="shared" si="86"/>
        <v>0</v>
      </c>
      <c r="Q242" s="110">
        <f t="shared" si="87"/>
        <v>0</v>
      </c>
      <c r="R242" s="110">
        <f t="shared" si="88"/>
        <v>0</v>
      </c>
      <c r="S242" s="110">
        <f t="shared" si="89"/>
        <v>0</v>
      </c>
      <c r="T242" s="110"/>
      <c r="U242" s="110">
        <f>IF('Simulador CH BX+'!$D$18="Monto de crédito",$F$11*$F$15,O242*$F$15)</f>
        <v>0</v>
      </c>
      <c r="V242" s="110">
        <f>IF('Simulador CH BX+'!$D$17="Valor Destructible",IF(O242-$F$18&lt;0,0,$F$18),IF(M242&gt;$F$8,0,MAX(O242,$F$10)*$F$17))</f>
        <v>0</v>
      </c>
      <c r="W242" s="110">
        <f t="shared" si="90"/>
        <v>0</v>
      </c>
      <c r="X242" s="110">
        <f t="shared" si="91"/>
        <v>0</v>
      </c>
      <c r="Y242" s="361">
        <f>'Simulador CH BX+'!M275</f>
        <v>0</v>
      </c>
      <c r="Z242" s="11"/>
      <c r="AA242" s="151">
        <f t="shared" si="100"/>
        <v>0</v>
      </c>
      <c r="AB242" s="110">
        <f t="shared" si="93"/>
        <v>0</v>
      </c>
      <c r="AC242" s="110">
        <f t="shared" si="94"/>
        <v>0</v>
      </c>
      <c r="AD242" s="110">
        <f t="shared" si="96"/>
        <v>0</v>
      </c>
      <c r="AE242" s="110">
        <f t="shared" si="95"/>
        <v>0</v>
      </c>
      <c r="AF242" s="110">
        <f>IF('Simulador CH BX+'!$D$18="Monto de crédito",$F$11*$F$15,AA242*$F$15)</f>
        <v>0</v>
      </c>
      <c r="AG242" s="110">
        <f>IF('Simulador CH BX+'!$D$17="Valor Destructible",IF(M242&gt;$F$8,0,$F$20),IF(M242&gt;$F$8,0,MAX(AA242,$F$10)*$F$19))</f>
        <v>0</v>
      </c>
      <c r="AH242" s="110">
        <f t="shared" si="97"/>
        <v>299</v>
      </c>
      <c r="AI242" s="110">
        <f t="shared" si="98"/>
        <v>299</v>
      </c>
      <c r="AJ242" s="361">
        <f t="shared" si="99"/>
        <v>299</v>
      </c>
    </row>
    <row r="243" spans="1:37" s="6" customFormat="1" ht="13.5" customHeight="1" x14ac:dyDescent="0.25">
      <c r="A243" s="11"/>
      <c r="B243" s="11"/>
      <c r="C243" s="11"/>
      <c r="D243" s="11"/>
      <c r="E243" s="10"/>
      <c r="F243" s="10"/>
      <c r="G243" s="10"/>
      <c r="H243" s="10"/>
      <c r="I243" s="10"/>
      <c r="J243" s="10"/>
      <c r="K243" s="10"/>
      <c r="L243" s="11"/>
      <c r="M243" s="360">
        <f t="shared" si="101"/>
        <v>238</v>
      </c>
      <c r="N243" s="111">
        <f t="shared" si="84"/>
        <v>9.6500000000000002E-2</v>
      </c>
      <c r="O243" s="119">
        <f t="shared" si="85"/>
        <v>0</v>
      </c>
      <c r="P243" s="110">
        <f t="shared" si="86"/>
        <v>0</v>
      </c>
      <c r="Q243" s="110">
        <f t="shared" si="87"/>
        <v>0</v>
      </c>
      <c r="R243" s="110">
        <f t="shared" si="88"/>
        <v>0</v>
      </c>
      <c r="S243" s="110">
        <f t="shared" si="89"/>
        <v>0</v>
      </c>
      <c r="T243" s="110"/>
      <c r="U243" s="110">
        <f>IF('Simulador CH BX+'!$D$18="Monto de crédito",$F$11*$F$15,O243*$F$15)</f>
        <v>0</v>
      </c>
      <c r="V243" s="110">
        <f>IF('Simulador CH BX+'!$D$17="Valor Destructible",IF(O243-$F$18&lt;0,0,$F$18),IF(M243&gt;$F$8,0,MAX(O243,$F$10)*$F$17))</f>
        <v>0</v>
      </c>
      <c r="W243" s="110">
        <f t="shared" si="90"/>
        <v>0</v>
      </c>
      <c r="X243" s="110">
        <f t="shared" si="91"/>
        <v>0</v>
      </c>
      <c r="Y243" s="361">
        <f>'Simulador CH BX+'!M276</f>
        <v>0</v>
      </c>
      <c r="Z243" s="11"/>
      <c r="AA243" s="151">
        <f t="shared" si="100"/>
        <v>0</v>
      </c>
      <c r="AB243" s="110">
        <f t="shared" si="93"/>
        <v>0</v>
      </c>
      <c r="AC243" s="110">
        <f t="shared" si="94"/>
        <v>0</v>
      </c>
      <c r="AD243" s="110">
        <f t="shared" si="96"/>
        <v>0</v>
      </c>
      <c r="AE243" s="110">
        <f t="shared" si="95"/>
        <v>0</v>
      </c>
      <c r="AF243" s="110">
        <f>IF('Simulador CH BX+'!$D$18="Monto de crédito",$F$11*$F$15,AA243*$F$15)</f>
        <v>0</v>
      </c>
      <c r="AG243" s="110">
        <f>IF('Simulador CH BX+'!$D$17="Valor Destructible",IF(M243&gt;$F$8,0,$F$20),IF(M243&gt;$F$8,0,MAX(AA243,$F$10)*$F$19))</f>
        <v>0</v>
      </c>
      <c r="AH243" s="110">
        <f t="shared" si="97"/>
        <v>299</v>
      </c>
      <c r="AI243" s="110">
        <f t="shared" si="98"/>
        <v>299</v>
      </c>
      <c r="AJ243" s="361">
        <f t="shared" si="99"/>
        <v>299</v>
      </c>
    </row>
    <row r="244" spans="1:37" s="6" customFormat="1" ht="13.5" customHeight="1" x14ac:dyDescent="0.25">
      <c r="A244" s="11"/>
      <c r="B244" s="11"/>
      <c r="C244" s="11"/>
      <c r="D244" s="11"/>
      <c r="E244" s="10"/>
      <c r="F244" s="10"/>
      <c r="G244" s="10"/>
      <c r="H244" s="10"/>
      <c r="I244" s="10"/>
      <c r="J244" s="10"/>
      <c r="K244" s="10"/>
      <c r="L244" s="11"/>
      <c r="M244" s="360">
        <f t="shared" si="101"/>
        <v>239</v>
      </c>
      <c r="N244" s="111">
        <f t="shared" si="84"/>
        <v>9.6500000000000002E-2</v>
      </c>
      <c r="O244" s="119">
        <f t="shared" si="85"/>
        <v>0</v>
      </c>
      <c r="P244" s="110">
        <f t="shared" si="86"/>
        <v>0</v>
      </c>
      <c r="Q244" s="110">
        <f t="shared" si="87"/>
        <v>0</v>
      </c>
      <c r="R244" s="110">
        <f t="shared" si="88"/>
        <v>0</v>
      </c>
      <c r="S244" s="110">
        <f t="shared" si="89"/>
        <v>0</v>
      </c>
      <c r="T244" s="110"/>
      <c r="U244" s="110">
        <f>IF('Simulador CH BX+'!$D$18="Monto de crédito",$F$11*$F$15,O244*$F$15)</f>
        <v>0</v>
      </c>
      <c r="V244" s="110">
        <f>IF('Simulador CH BX+'!$D$17="Valor Destructible",IF(O244-$F$18&lt;0,0,$F$18),IF(M244&gt;$F$8,0,MAX(O244,$F$10)*$F$17))</f>
        <v>0</v>
      </c>
      <c r="W244" s="110">
        <f t="shared" si="90"/>
        <v>0</v>
      </c>
      <c r="X244" s="110">
        <f t="shared" si="91"/>
        <v>0</v>
      </c>
      <c r="Y244" s="361">
        <f>'Simulador CH BX+'!M277</f>
        <v>0</v>
      </c>
      <c r="Z244" s="11"/>
      <c r="AA244" s="151">
        <f t="shared" si="100"/>
        <v>0</v>
      </c>
      <c r="AB244" s="110">
        <f t="shared" si="93"/>
        <v>0</v>
      </c>
      <c r="AC244" s="110">
        <f t="shared" si="94"/>
        <v>0</v>
      </c>
      <c r="AD244" s="110">
        <f t="shared" si="96"/>
        <v>0</v>
      </c>
      <c r="AE244" s="110">
        <f t="shared" si="95"/>
        <v>0</v>
      </c>
      <c r="AF244" s="110">
        <f>IF('Simulador CH BX+'!$D$18="Monto de crédito",$F$11*$F$15,AA244*$F$15)</f>
        <v>0</v>
      </c>
      <c r="AG244" s="110">
        <f>IF('Simulador CH BX+'!$D$17="Valor Destructible",IF(M244&gt;$F$8,0,$F$20),IF(M244&gt;$F$8,0,MAX(AA244,$F$10)*$F$19))</f>
        <v>0</v>
      </c>
      <c r="AH244" s="110">
        <f t="shared" si="97"/>
        <v>299</v>
      </c>
      <c r="AI244" s="110">
        <f t="shared" si="98"/>
        <v>299</v>
      </c>
      <c r="AJ244" s="361">
        <f t="shared" si="99"/>
        <v>299</v>
      </c>
    </row>
    <row r="245" spans="1:37" s="6" customFormat="1" ht="13.5" customHeight="1" x14ac:dyDescent="0.25">
      <c r="A245" s="11"/>
      <c r="B245" s="11"/>
      <c r="C245" s="11"/>
      <c r="D245" s="11"/>
      <c r="E245" s="10"/>
      <c r="F245" s="10"/>
      <c r="G245" s="10"/>
      <c r="H245" s="10"/>
      <c r="I245" s="10"/>
      <c r="J245" s="10"/>
      <c r="K245" s="10"/>
      <c r="L245" s="11"/>
      <c r="M245" s="103">
        <f t="shared" si="101"/>
        <v>240</v>
      </c>
      <c r="N245" s="104">
        <f t="shared" si="84"/>
        <v>9.6500000000000002E-2</v>
      </c>
      <c r="O245" s="105">
        <f t="shared" si="85"/>
        <v>0</v>
      </c>
      <c r="P245" s="106">
        <f t="shared" si="86"/>
        <v>0</v>
      </c>
      <c r="Q245" s="106">
        <f t="shared" si="87"/>
        <v>0</v>
      </c>
      <c r="R245" s="106">
        <f t="shared" si="88"/>
        <v>0</v>
      </c>
      <c r="S245" s="106">
        <f t="shared" si="89"/>
        <v>0</v>
      </c>
      <c r="T245" s="106"/>
      <c r="U245" s="106">
        <f>IF('Simulador CH BX+'!$D$18="Monto de crédito",$F$11*$F$15,O245*$F$15)</f>
        <v>0</v>
      </c>
      <c r="V245" s="106">
        <f>IF('Simulador CH BX+'!$D$17="Valor Destructible",IF(O245-$F$18&lt;0,0,$F$18),IF(M245&gt;$F$8,0,MAX(O245,$F$10)*$F$17))</f>
        <v>0</v>
      </c>
      <c r="W245" s="106">
        <f t="shared" si="90"/>
        <v>0</v>
      </c>
      <c r="X245" s="106">
        <f t="shared" si="91"/>
        <v>0</v>
      </c>
      <c r="Y245" s="107">
        <f>'Simulador CH BX+'!M278</f>
        <v>0</v>
      </c>
      <c r="Z245" s="11"/>
      <c r="AA245" s="150">
        <f t="shared" si="100"/>
        <v>0</v>
      </c>
      <c r="AB245" s="106">
        <f t="shared" si="93"/>
        <v>0</v>
      </c>
      <c r="AC245" s="106">
        <f t="shared" si="94"/>
        <v>0</v>
      </c>
      <c r="AD245" s="106">
        <f t="shared" si="96"/>
        <v>0</v>
      </c>
      <c r="AE245" s="106">
        <f t="shared" si="95"/>
        <v>0</v>
      </c>
      <c r="AF245" s="106">
        <f>IF('Simulador CH BX+'!$D$18="Monto de crédito",$F$11*$F$15,AA245*$F$15)</f>
        <v>0</v>
      </c>
      <c r="AG245" s="106">
        <f>IF('Simulador CH BX+'!$D$17="Valor Destructible",IF(M245&gt;$F$8,0,$F$20),IF(M245&gt;$F$8,0,MAX(AA245,$F$10)*$F$19))</f>
        <v>0</v>
      </c>
      <c r="AH245" s="106">
        <f t="shared" si="97"/>
        <v>299</v>
      </c>
      <c r="AI245" s="106">
        <f t="shared" si="98"/>
        <v>299</v>
      </c>
      <c r="AJ245" s="107">
        <f t="shared" si="99"/>
        <v>299</v>
      </c>
      <c r="AK245" s="185"/>
    </row>
    <row r="246" spans="1:37" s="2" customFormat="1" ht="13.5" customHeight="1" x14ac:dyDescent="0.3">
      <c r="A246" s="10"/>
      <c r="B246" s="11"/>
      <c r="C246" s="11"/>
      <c r="D246" s="11"/>
      <c r="E246" s="10"/>
      <c r="F246" s="10"/>
      <c r="G246" s="17"/>
      <c r="H246" s="10"/>
      <c r="I246" s="10"/>
      <c r="J246" s="10"/>
      <c r="K246" s="10"/>
      <c r="L246" s="11"/>
      <c r="M246" s="363"/>
      <c r="N246" s="364"/>
      <c r="O246" s="365"/>
      <c r="P246" s="365">
        <f>SUM(P6:P245)</f>
        <v>0</v>
      </c>
      <c r="Q246" s="365">
        <f>SUM(Q6:Q245)</f>
        <v>0</v>
      </c>
      <c r="R246" s="366">
        <f>SUM(R6:R245)</f>
        <v>0</v>
      </c>
      <c r="S246" s="366">
        <f>SUM(S6:S245)</f>
        <v>0</v>
      </c>
      <c r="T246" s="367"/>
      <c r="U246" s="366"/>
      <c r="V246" s="366"/>
      <c r="W246" s="366"/>
      <c r="X246" s="177"/>
      <c r="Y246" s="178">
        <f>SUM(Y6:Y185)</f>
        <v>0</v>
      </c>
      <c r="Z246" s="134"/>
      <c r="AA246" s="180"/>
      <c r="AB246" s="177"/>
      <c r="AC246" s="181">
        <f>SUM(AC6:AC245)</f>
        <v>0</v>
      </c>
      <c r="AD246" s="365">
        <f>SUM(AD6:AD245)</f>
        <v>0</v>
      </c>
      <c r="AE246" s="177"/>
      <c r="AF246" s="177"/>
      <c r="AG246" s="366"/>
      <c r="AH246" s="177"/>
      <c r="AI246" s="368" t="e">
        <f>IRR(AI5:AI245,0)</f>
        <v>#NUM!</v>
      </c>
      <c r="AJ246" s="369" t="e">
        <f>IRR(AJ5:AJ245,0)</f>
        <v>#DIV/0!</v>
      </c>
    </row>
    <row r="247" spans="1:37" s="2" customFormat="1" ht="13.5" customHeight="1" x14ac:dyDescent="0.3">
      <c r="A247" s="10"/>
      <c r="B247" s="10"/>
      <c r="C247" s="10"/>
      <c r="D247" s="10"/>
      <c r="E247" s="10"/>
      <c r="F247" s="10"/>
      <c r="G247" s="17"/>
      <c r="H247" s="10"/>
      <c r="I247" s="10"/>
      <c r="J247" s="10"/>
      <c r="K247" s="10"/>
      <c r="L247" s="11"/>
      <c r="M247" s="130"/>
      <c r="N247" s="131"/>
      <c r="O247" s="132"/>
      <c r="P247" s="132"/>
      <c r="Q247" s="133"/>
      <c r="R247" s="159"/>
      <c r="S247" s="159"/>
      <c r="T247" s="157"/>
      <c r="U247" s="156"/>
      <c r="V247" s="156"/>
      <c r="W247" s="156"/>
      <c r="X247" s="158"/>
      <c r="Y247" s="160"/>
      <c r="Z247" s="134"/>
      <c r="AA247" s="180"/>
      <c r="AB247" s="177"/>
      <c r="AC247" s="156"/>
      <c r="AD247" s="159"/>
      <c r="AE247" s="177"/>
      <c r="AF247" s="177"/>
      <c r="AG247" s="156"/>
      <c r="AH247" s="158"/>
      <c r="AI247" s="159" t="e">
        <f>AI246*12</f>
        <v>#NUM!</v>
      </c>
      <c r="AJ247" s="182" t="e">
        <f>AJ246*12</f>
        <v>#DIV/0!</v>
      </c>
    </row>
    <row r="248" spans="1:37" s="2" customFormat="1" ht="18" customHeight="1" x14ac:dyDescent="0.3">
      <c r="A248" s="10"/>
      <c r="B248" s="10"/>
      <c r="C248" s="10"/>
      <c r="D248" s="10"/>
      <c r="E248" s="17"/>
      <c r="F248" s="17"/>
      <c r="G248" s="17"/>
      <c r="H248" s="10"/>
      <c r="I248" s="10"/>
      <c r="J248" s="10"/>
      <c r="K248" s="10"/>
      <c r="L248" s="11"/>
      <c r="M248" s="112"/>
      <c r="N248" s="113"/>
      <c r="O248" s="119"/>
      <c r="P248" s="119"/>
      <c r="Q248" s="108"/>
      <c r="R248" s="111"/>
      <c r="S248" s="111"/>
      <c r="T248" s="109"/>
      <c r="U248" s="108"/>
      <c r="V248" s="108"/>
      <c r="W248" s="108"/>
      <c r="X248" s="110"/>
      <c r="Y248" s="115"/>
      <c r="Z248" s="10"/>
      <c r="AA248" s="151"/>
      <c r="AB248" s="119"/>
      <c r="AC248" s="108"/>
      <c r="AD248" s="111"/>
      <c r="AE248" s="111"/>
      <c r="AF248" s="108"/>
      <c r="AG248" s="108"/>
      <c r="AH248" s="110"/>
      <c r="AI248" s="111"/>
      <c r="AJ248" s="152"/>
    </row>
    <row r="249" spans="1:37" s="2" customFormat="1" ht="21.75" customHeight="1" x14ac:dyDescent="0.3">
      <c r="A249" s="10"/>
      <c r="B249" s="10"/>
      <c r="C249" s="10"/>
      <c r="D249" s="10"/>
      <c r="E249" s="17"/>
      <c r="F249" s="17"/>
      <c r="G249" s="17"/>
      <c r="H249" s="10"/>
      <c r="I249" s="10"/>
      <c r="J249" s="10"/>
      <c r="K249" s="10"/>
      <c r="L249" s="11"/>
      <c r="M249" s="112"/>
      <c r="N249" s="113"/>
      <c r="O249" s="113"/>
      <c r="P249" s="113"/>
      <c r="Q249" s="113"/>
      <c r="R249" s="114"/>
      <c r="S249" s="114"/>
      <c r="T249" s="109"/>
      <c r="U249" s="113"/>
      <c r="V249" s="113"/>
      <c r="W249" s="113"/>
      <c r="X249" s="113"/>
      <c r="Y249" s="115"/>
      <c r="Z249" s="10"/>
      <c r="AA249" s="112"/>
      <c r="AB249" s="113"/>
      <c r="AC249" s="113"/>
      <c r="AD249" s="114"/>
      <c r="AE249" s="114"/>
      <c r="AF249" s="113"/>
      <c r="AG249" s="113"/>
      <c r="AH249" s="110"/>
      <c r="AI249" s="114" t="e">
        <f>AI247</f>
        <v>#NUM!</v>
      </c>
      <c r="AJ249" s="183">
        <f>IF(F11=0,0,((1+AJ246)^12)-1)</f>
        <v>0</v>
      </c>
    </row>
    <row r="250" spans="1:37" s="2" customFormat="1" ht="27" customHeight="1" x14ac:dyDescent="0.3">
      <c r="A250" s="10"/>
      <c r="B250" s="10"/>
      <c r="C250" s="10"/>
      <c r="D250" s="10"/>
      <c r="E250" s="17"/>
      <c r="F250" s="17"/>
      <c r="G250" s="17"/>
      <c r="H250" s="10"/>
      <c r="I250" s="10"/>
      <c r="J250" s="10"/>
      <c r="K250" s="10"/>
      <c r="L250" s="11"/>
      <c r="M250" s="112"/>
      <c r="N250" s="113"/>
      <c r="O250" s="113"/>
      <c r="P250" s="113"/>
      <c r="Q250" s="113"/>
      <c r="R250" s="116"/>
      <c r="S250" s="116"/>
      <c r="T250" s="109"/>
      <c r="U250" s="108"/>
      <c r="V250" s="108"/>
      <c r="W250" s="108"/>
      <c r="X250" s="117"/>
      <c r="Y250" s="115"/>
      <c r="Z250" s="10"/>
      <c r="AA250" s="112"/>
      <c r="AB250" s="113"/>
      <c r="AC250" s="113"/>
      <c r="AD250" s="116"/>
      <c r="AE250" s="116"/>
      <c r="AF250" s="108"/>
      <c r="AG250" s="108"/>
      <c r="AH250" s="110"/>
      <c r="AI250" s="118" t="s">
        <v>5</v>
      </c>
      <c r="AJ250" s="153" t="s">
        <v>6</v>
      </c>
    </row>
    <row r="251" spans="1:37" s="2" customFormat="1" ht="18" customHeight="1" thickBot="1" x14ac:dyDescent="0.3">
      <c r="A251" s="10"/>
      <c r="B251" s="10"/>
      <c r="C251" s="10"/>
      <c r="D251" s="10"/>
      <c r="E251" s="17"/>
      <c r="F251" s="17"/>
      <c r="G251" s="17"/>
      <c r="H251" s="10"/>
      <c r="I251" s="10"/>
      <c r="J251" s="10"/>
      <c r="K251" s="10"/>
      <c r="L251" s="11"/>
      <c r="M251" s="16"/>
      <c r="N251" s="13"/>
      <c r="O251" s="13"/>
      <c r="P251" s="13"/>
      <c r="Q251" s="13"/>
      <c r="R251" s="14"/>
      <c r="S251" s="14"/>
      <c r="T251" s="14"/>
      <c r="U251" s="13"/>
      <c r="V251" s="13"/>
      <c r="W251" s="13"/>
      <c r="X251" s="13"/>
      <c r="Y251" s="15"/>
      <c r="Z251" s="10"/>
      <c r="AA251" s="154"/>
      <c r="AB251" s="13"/>
      <c r="AC251" s="13"/>
      <c r="AD251" s="14"/>
      <c r="AE251" s="14"/>
      <c r="AF251" s="13"/>
      <c r="AG251" s="13"/>
      <c r="AH251" s="13"/>
      <c r="AI251" s="13"/>
      <c r="AJ251" s="15"/>
    </row>
    <row r="252" spans="1:37" s="10" customFormat="1" x14ac:dyDescent="0.35">
      <c r="E252" s="17"/>
      <c r="F252" s="17"/>
      <c r="G252" s="17"/>
      <c r="L252" s="35"/>
      <c r="M252" s="35"/>
      <c r="R252" s="35"/>
      <c r="S252" s="35"/>
      <c r="T252" s="35"/>
    </row>
    <row r="253" spans="1:37" s="10" customFormat="1" x14ac:dyDescent="0.35">
      <c r="E253" s="17"/>
      <c r="F253" s="17"/>
      <c r="G253" s="17"/>
      <c r="L253" s="35"/>
      <c r="M253" s="35"/>
      <c r="R253" s="35"/>
      <c r="S253" s="35"/>
      <c r="T253" s="35"/>
    </row>
    <row r="254" spans="1:37" s="10" customFormat="1" x14ac:dyDescent="0.35">
      <c r="E254" s="17"/>
      <c r="F254" s="17"/>
      <c r="G254" s="17"/>
      <c r="L254" s="35"/>
      <c r="M254" s="35"/>
      <c r="Q254" s="48"/>
      <c r="R254" s="49"/>
      <c r="S254" s="49"/>
      <c r="T254" s="35"/>
    </row>
    <row r="255" spans="1:37" s="10" customFormat="1" x14ac:dyDescent="0.35">
      <c r="E255" s="17"/>
      <c r="F255" s="17"/>
      <c r="G255" s="17"/>
      <c r="J255" s="17"/>
      <c r="K255" s="17"/>
      <c r="L255" s="35"/>
      <c r="M255" s="35"/>
      <c r="R255" s="49"/>
      <c r="S255" s="49"/>
      <c r="T255" s="35"/>
    </row>
    <row r="256" spans="1:37" s="10" customFormat="1" x14ac:dyDescent="0.35">
      <c r="E256" s="17"/>
      <c r="F256" s="17"/>
      <c r="G256" s="17"/>
      <c r="J256" s="17"/>
      <c r="K256" s="17"/>
      <c r="L256" s="35"/>
      <c r="M256" s="35"/>
      <c r="R256" s="35"/>
      <c r="S256" s="35"/>
      <c r="T256" s="35"/>
    </row>
    <row r="257" spans="2:31" s="2" customFormat="1" x14ac:dyDescent="0.35">
      <c r="B257" s="10"/>
      <c r="C257" s="10"/>
      <c r="D257" s="10"/>
      <c r="E257" s="17"/>
      <c r="F257" s="17"/>
      <c r="G257" s="17"/>
      <c r="H257" s="10"/>
      <c r="I257" s="10"/>
      <c r="J257" s="17"/>
      <c r="K257" s="17"/>
      <c r="L257" s="35"/>
      <c r="M257" s="7"/>
      <c r="R257" s="7"/>
      <c r="S257" s="7"/>
      <c r="T257" s="7"/>
      <c r="Z257" s="10"/>
      <c r="AA257" s="10"/>
      <c r="AB257" s="10"/>
      <c r="AC257" s="10"/>
      <c r="AD257" s="10"/>
      <c r="AE257" s="10"/>
    </row>
    <row r="258" spans="2:31" s="2" customFormat="1" x14ac:dyDescent="0.35">
      <c r="D258" s="10"/>
      <c r="E258" s="1"/>
      <c r="F258" s="1"/>
      <c r="G258" s="17"/>
      <c r="H258" s="10"/>
      <c r="I258" s="10"/>
      <c r="J258" s="17"/>
      <c r="K258" s="17"/>
      <c r="L258" s="35"/>
      <c r="M258" s="7"/>
      <c r="R258" s="7"/>
      <c r="S258" s="7"/>
      <c r="T258" s="7"/>
      <c r="Z258" s="10"/>
      <c r="AA258" s="10"/>
      <c r="AB258" s="10"/>
      <c r="AC258" s="10"/>
      <c r="AD258" s="10"/>
      <c r="AE258" s="10"/>
    </row>
    <row r="259" spans="2:31" x14ac:dyDescent="0.35">
      <c r="B259" s="2"/>
      <c r="C259" s="2"/>
      <c r="D259" s="10"/>
      <c r="H259" s="10"/>
      <c r="I259" s="10"/>
      <c r="J259" s="17"/>
      <c r="K259" s="17"/>
      <c r="R259"/>
      <c r="S259"/>
      <c r="T259"/>
    </row>
    <row r="260" spans="2:31" x14ac:dyDescent="0.35">
      <c r="H260" s="10"/>
      <c r="I260" s="10"/>
      <c r="J260" s="17"/>
      <c r="K260" s="17"/>
      <c r="R260"/>
      <c r="S260"/>
      <c r="T260"/>
    </row>
    <row r="261" spans="2:31" x14ac:dyDescent="0.35">
      <c r="H261" s="10"/>
      <c r="I261" s="10"/>
      <c r="J261" s="17"/>
      <c r="K261" s="17"/>
      <c r="R261"/>
      <c r="S261"/>
      <c r="T261"/>
    </row>
    <row r="262" spans="2:31" x14ac:dyDescent="0.35">
      <c r="H262" s="10"/>
      <c r="I262" s="10"/>
      <c r="J262" s="17"/>
      <c r="K262" s="17"/>
      <c r="R262"/>
      <c r="S262"/>
      <c r="T262"/>
    </row>
    <row r="263" spans="2:31" x14ac:dyDescent="0.35">
      <c r="H263" s="10"/>
      <c r="I263" s="10"/>
      <c r="J263" s="17"/>
      <c r="K263" s="17"/>
    </row>
    <row r="264" spans="2:31" x14ac:dyDescent="0.35">
      <c r="H264" s="10"/>
      <c r="I264" s="10"/>
      <c r="J264" s="17"/>
      <c r="K264" s="17"/>
    </row>
    <row r="265" spans="2:31" x14ac:dyDescent="0.35">
      <c r="H265" s="10"/>
      <c r="I265" s="17"/>
      <c r="J265" s="17"/>
      <c r="K265" s="17"/>
    </row>
    <row r="266" spans="2:31" x14ac:dyDescent="0.35">
      <c r="H266" s="17"/>
      <c r="I266" s="17"/>
    </row>
    <row r="267" spans="2:31" x14ac:dyDescent="0.35">
      <c r="H267" s="17"/>
      <c r="I267" s="17"/>
    </row>
    <row r="268" spans="2:31" x14ac:dyDescent="0.35">
      <c r="H268" s="17"/>
      <c r="I268" s="17"/>
    </row>
    <row r="269" spans="2:31" x14ac:dyDescent="0.35">
      <c r="H269" s="17"/>
      <c r="I269" s="17"/>
    </row>
    <row r="270" spans="2:31" x14ac:dyDescent="0.35">
      <c r="H270" s="17"/>
      <c r="I270" s="17"/>
    </row>
    <row r="271" spans="2:31" x14ac:dyDescent="0.35">
      <c r="H271" s="17"/>
      <c r="I271" s="17"/>
    </row>
    <row r="272" spans="2:31" x14ac:dyDescent="0.35">
      <c r="H272" s="17"/>
      <c r="I272" s="17"/>
    </row>
    <row r="273" spans="8:9" x14ac:dyDescent="0.35">
      <c r="H273" s="17"/>
      <c r="I273" s="17"/>
    </row>
    <row r="274" spans="8:9" x14ac:dyDescent="0.35">
      <c r="H274" s="17"/>
      <c r="I274" s="17"/>
    </row>
    <row r="275" spans="8:9" x14ac:dyDescent="0.35">
      <c r="H275" s="17"/>
      <c r="I275" s="17"/>
    </row>
    <row r="276" spans="8:9" x14ac:dyDescent="0.35">
      <c r="H276" s="17"/>
    </row>
  </sheetData>
  <sheetProtection algorithmName="SHA-512" hashValue="xcKnjOiiBYzGunHwQxHx0MdOcRXBZVXZLKcEJmX2WuhrYftWg//59AAGV615HtY3aWi9Tghj8vOIB8mAeHWgEQ==" saltValue="CdUsUJFxjSeP90T3qYtDYw==" spinCount="100000" sheet="1" objects="1" scenarios="1"/>
  <sortState xmlns:xlrd2="http://schemas.microsoft.com/office/spreadsheetml/2017/richdata2" ref="I37:J42">
    <sortCondition ref="I37"/>
  </sortState>
  <mergeCells count="21">
    <mergeCell ref="J70:K70"/>
    <mergeCell ref="J71:K72"/>
    <mergeCell ref="B54:C54"/>
    <mergeCell ref="B57:B58"/>
    <mergeCell ref="C57:C58"/>
    <mergeCell ref="E54:F54"/>
    <mergeCell ref="B46:D46"/>
    <mergeCell ref="H53:I53"/>
    <mergeCell ref="H52:K52"/>
    <mergeCell ref="H34:K34"/>
    <mergeCell ref="H35:I35"/>
    <mergeCell ref="I33:J33"/>
    <mergeCell ref="I32:J32"/>
    <mergeCell ref="E4:F4"/>
    <mergeCell ref="H4:I4"/>
    <mergeCell ref="H18:J18"/>
    <mergeCell ref="B4:C4"/>
    <mergeCell ref="H30:J30"/>
    <mergeCell ref="B18:C18"/>
    <mergeCell ref="I2:M2"/>
    <mergeCell ref="H19:I19"/>
  </mergeCells>
  <phoneticPr fontId="17" type="noConversion"/>
  <pageMargins left="0.7" right="0.7" top="0.75" bottom="0.75" header="0.3" footer="0.3"/>
  <pageSetup orientation="portrait" verticalDpi="300" r:id="rId1"/>
  <legacyDrawing r:id="rId2"/>
</worksheet>
</file>

<file path=docMetadata/LabelInfo.xml><?xml version="1.0" encoding="utf-8"?>
<clbl:labelList xmlns:clbl="http://schemas.microsoft.com/office/2020/mipLabelMetadata">
  <clbl:label id="{ba5ddd75-76ee-4cc8-871c-4a910b8b374f}" enabled="0" method="" siteId="{ba5ddd75-76ee-4cc8-871c-4a910b8b37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Simulador CH BX+</vt:lpstr>
      <vt:lpstr>VResPlus</vt:lpstr>
      <vt:lpstr>'Simulador CH BX+'!Área_de_impresión</vt:lpstr>
      <vt:lpstr>OCHENTA</vt:lpstr>
      <vt:lpstr>OCHENTA_Y_CINCO</vt:lpstr>
      <vt:lpstr>SETENTA</vt:lpstr>
      <vt:lpstr>'Simulador CH BX+'!Títulos_a_imprimir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Alvarez Albarrán</dc:creator>
  <cp:lastModifiedBy>Rogelio Felipe Alvarez Albarran (Banco)</cp:lastModifiedBy>
  <cp:lastPrinted>2018-11-08T07:45:51Z</cp:lastPrinted>
  <dcterms:created xsi:type="dcterms:W3CDTF">2010-12-10T15:28:42Z</dcterms:created>
  <dcterms:modified xsi:type="dcterms:W3CDTF">2026-01-15T22:01:08Z</dcterms:modified>
  <cp:version>1</cp:version>
</cp:coreProperties>
</file>