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elipug\Desktop\PYME INMUEBLES\"/>
    </mc:Choice>
  </mc:AlternateContent>
  <xr:revisionPtr revIDLastSave="0" documentId="13_ncr:1_{C11AD5B2-5840-40D6-B5A4-EAE9236FC7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ulador" sheetId="1" r:id="rId1"/>
    <sheet name="Parametros" sheetId="2" state="hidden" r:id="rId2"/>
  </sheets>
  <definedNames>
    <definedName name="CAT">Simulador!$K$13</definedName>
    <definedName name="Financiamiento">Parametros!$I$13</definedName>
    <definedName name="H_Not">Parametros!$B$2:$E$15</definedName>
    <definedName name="Plazo">Parametros!$I$3</definedName>
    <definedName name="TOPE">Parametros!$D$20</definedName>
    <definedName name="ZFr">Parametros!$C$17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2" l="1"/>
  <c r="I14" i="2"/>
  <c r="I27" i="2" l="1"/>
  <c r="I25" i="2" s="1"/>
  <c r="D12" i="1" s="1"/>
  <c r="H25" i="2"/>
  <c r="I3" i="2" l="1"/>
  <c r="H3" i="2"/>
  <c r="I5" i="2"/>
  <c r="I6" i="2" s="1"/>
  <c r="I7" i="2" s="1"/>
  <c r="I8" i="2" s="1"/>
  <c r="I9" i="2" s="1"/>
  <c r="I10" i="2" s="1"/>
  <c r="G5" i="2"/>
  <c r="G6" i="2" s="1"/>
  <c r="G7" i="2" s="1"/>
  <c r="G8" i="2" s="1"/>
  <c r="G9" i="2" s="1"/>
  <c r="G10" i="2" s="1"/>
  <c r="I18" i="2" l="1"/>
  <c r="H18" i="2"/>
  <c r="I13" i="2" l="1"/>
  <c r="E3" i="1" s="1"/>
  <c r="D3" i="1" s="1"/>
  <c r="F2" i="1" s="1"/>
  <c r="H13" i="2"/>
  <c r="D20" i="2"/>
  <c r="C20" i="2"/>
  <c r="E4" i="2"/>
  <c r="B15" i="2"/>
  <c r="E13" i="2"/>
  <c r="E14" i="2" s="1"/>
  <c r="E15" i="2" s="1"/>
  <c r="B12" i="2"/>
  <c r="B13" i="2"/>
  <c r="B14" i="2"/>
  <c r="C5" i="2"/>
  <c r="B6" i="2" s="1"/>
  <c r="B5" i="2"/>
  <c r="E7" i="1"/>
  <c r="E5" i="2" l="1"/>
  <c r="C6" i="2"/>
  <c r="F3" i="1" l="1"/>
  <c r="C16" i="1"/>
  <c r="E6" i="1"/>
  <c r="C7" i="2"/>
  <c r="B7" i="2"/>
  <c r="E6" i="2"/>
  <c r="F76" i="1" l="1"/>
  <c r="F42" i="1"/>
  <c r="F46" i="1"/>
  <c r="F25" i="1"/>
  <c r="F20" i="1"/>
  <c r="F84" i="1"/>
  <c r="F29" i="1"/>
  <c r="F93" i="1"/>
  <c r="F58" i="1"/>
  <c r="F67" i="1"/>
  <c r="F54" i="1"/>
  <c r="F63" i="1"/>
  <c r="F56" i="1"/>
  <c r="F89" i="1"/>
  <c r="F65" i="1"/>
  <c r="F26" i="1"/>
  <c r="F27" i="1"/>
  <c r="F28" i="1"/>
  <c r="F92" i="1"/>
  <c r="F37" i="1"/>
  <c r="F74" i="1"/>
  <c r="F83" i="1"/>
  <c r="F62" i="1"/>
  <c r="F71" i="1"/>
  <c r="F64" i="1"/>
  <c r="F34" i="1"/>
  <c r="F43" i="1"/>
  <c r="F36" i="1"/>
  <c r="F45" i="1"/>
  <c r="F90" i="1"/>
  <c r="F99" i="1"/>
  <c r="F79" i="1"/>
  <c r="F72" i="1"/>
  <c r="F48" i="1"/>
  <c r="F49" i="1"/>
  <c r="F70" i="1"/>
  <c r="F30" i="1"/>
  <c r="F73" i="1"/>
  <c r="F50" i="1"/>
  <c r="F59" i="1"/>
  <c r="F44" i="1"/>
  <c r="F53" i="1"/>
  <c r="F78" i="1"/>
  <c r="F23" i="1"/>
  <c r="F87" i="1"/>
  <c r="F16" i="1"/>
  <c r="C17" i="1" s="1"/>
  <c r="F80" i="1"/>
  <c r="G16" i="1"/>
  <c r="F69" i="1"/>
  <c r="F19" i="1"/>
  <c r="F94" i="1"/>
  <c r="F96" i="1"/>
  <c r="F98" i="1"/>
  <c r="F18" i="1"/>
  <c r="F38" i="1"/>
  <c r="F47" i="1"/>
  <c r="F40" i="1"/>
  <c r="F85" i="1"/>
  <c r="F57" i="1"/>
  <c r="F97" i="1"/>
  <c r="F66" i="1"/>
  <c r="F75" i="1"/>
  <c r="F52" i="1"/>
  <c r="F61" i="1"/>
  <c r="F86" i="1"/>
  <c r="F31" i="1"/>
  <c r="F95" i="1"/>
  <c r="F24" i="1"/>
  <c r="F88" i="1"/>
  <c r="H16" i="1"/>
  <c r="I16" i="1" s="1"/>
  <c r="F41" i="1"/>
  <c r="F82" i="1"/>
  <c r="F91" i="1"/>
  <c r="F60" i="1"/>
  <c r="F22" i="1"/>
  <c r="F39" i="1"/>
  <c r="F32" i="1"/>
  <c r="D16" i="1"/>
  <c r="F33" i="1"/>
  <c r="F17" i="1"/>
  <c r="F68" i="1"/>
  <c r="F77" i="1"/>
  <c r="F35" i="1"/>
  <c r="F81" i="1"/>
  <c r="F21" i="1"/>
  <c r="F51" i="1"/>
  <c r="F55" i="1"/>
  <c r="C8" i="2"/>
  <c r="E7" i="2"/>
  <c r="B8" i="2"/>
  <c r="C18" i="1" l="1"/>
  <c r="H17" i="1"/>
  <c r="I17" i="1" s="1"/>
  <c r="D17" i="1"/>
  <c r="E17" i="1" s="1"/>
  <c r="G17" i="1"/>
  <c r="E16" i="1"/>
  <c r="J16" i="1"/>
  <c r="K16" i="1" s="1"/>
  <c r="B9" i="2"/>
  <c r="E8" i="2"/>
  <c r="C9" i="2"/>
  <c r="J17" i="1" l="1"/>
  <c r="K17" i="1" s="1"/>
  <c r="C19" i="1"/>
  <c r="D18" i="1"/>
  <c r="G18" i="1"/>
  <c r="H18" i="1"/>
  <c r="I18" i="1" s="1"/>
  <c r="L16" i="1"/>
  <c r="E9" i="2"/>
  <c r="C10" i="2"/>
  <c r="B10" i="2"/>
  <c r="C20" i="1" l="1"/>
  <c r="H19" i="1"/>
  <c r="I19" i="1" s="1"/>
  <c r="G19" i="1"/>
  <c r="D19" i="1"/>
  <c r="L17" i="1"/>
  <c r="E18" i="1"/>
  <c r="J18" i="1"/>
  <c r="E10" i="2"/>
  <c r="B11" i="2"/>
  <c r="E8" i="1" s="1"/>
  <c r="H20" i="1" l="1"/>
  <c r="I20" i="1" s="1"/>
  <c r="C21" i="1"/>
  <c r="G20" i="1"/>
  <c r="D20" i="1"/>
  <c r="K18" i="1"/>
  <c r="L18" i="1"/>
  <c r="J19" i="1"/>
  <c r="E19" i="1"/>
  <c r="L15" i="1"/>
  <c r="K15" i="1"/>
  <c r="L19" i="1" l="1"/>
  <c r="E20" i="1"/>
  <c r="J20" i="1"/>
  <c r="K20" i="1" s="1"/>
  <c r="H21" i="1"/>
  <c r="I21" i="1" s="1"/>
  <c r="G21" i="1"/>
  <c r="D21" i="1"/>
  <c r="C22" i="1"/>
  <c r="K19" i="1"/>
  <c r="L20" i="1" l="1"/>
  <c r="G22" i="1"/>
  <c r="C23" i="1"/>
  <c r="D22" i="1"/>
  <c r="H22" i="1"/>
  <c r="I22" i="1" s="1"/>
  <c r="J21" i="1"/>
  <c r="K21" i="1" s="1"/>
  <c r="E21" i="1"/>
  <c r="J22" i="1" l="1"/>
  <c r="K22" i="1" s="1"/>
  <c r="E22" i="1"/>
  <c r="H23" i="1"/>
  <c r="I23" i="1" s="1"/>
  <c r="G23" i="1"/>
  <c r="C24" i="1"/>
  <c r="D23" i="1"/>
  <c r="L21" i="1"/>
  <c r="E23" i="1" l="1"/>
  <c r="J23" i="1"/>
  <c r="K23" i="1" s="1"/>
  <c r="C25" i="1"/>
  <c r="D24" i="1"/>
  <c r="H24" i="1"/>
  <c r="I24" i="1" s="1"/>
  <c r="G24" i="1"/>
  <c r="L22" i="1"/>
  <c r="L23" i="1" l="1"/>
  <c r="E24" i="1"/>
  <c r="J24" i="1"/>
  <c r="K24" i="1" s="1"/>
  <c r="G25" i="1"/>
  <c r="C26" i="1"/>
  <c r="C27" i="1" s="1"/>
  <c r="D25" i="1"/>
  <c r="H25" i="1"/>
  <c r="I25" i="1" s="1"/>
  <c r="L24" i="1" l="1"/>
  <c r="J25" i="1"/>
  <c r="K25" i="1" s="1"/>
  <c r="E25" i="1"/>
  <c r="D26" i="1"/>
  <c r="H26" i="1"/>
  <c r="I26" i="1" s="1"/>
  <c r="G26" i="1"/>
  <c r="H27" i="1"/>
  <c r="I27" i="1" s="1"/>
  <c r="G27" i="1"/>
  <c r="D27" i="1"/>
  <c r="E26" i="1" l="1"/>
  <c r="J26" i="1"/>
  <c r="L25" i="1"/>
  <c r="C28" i="1"/>
  <c r="J27" i="1"/>
  <c r="K27" i="1" s="1"/>
  <c r="E27" i="1"/>
  <c r="L26" i="1" l="1"/>
  <c r="K26" i="1"/>
  <c r="L27" i="1"/>
  <c r="H28" i="1"/>
  <c r="I28" i="1" s="1"/>
  <c r="C29" i="1"/>
  <c r="G28" i="1"/>
  <c r="D28" i="1"/>
  <c r="G29" i="1" l="1"/>
  <c r="C30" i="1"/>
  <c r="D29" i="1"/>
  <c r="H29" i="1"/>
  <c r="I29" i="1" s="1"/>
  <c r="E28" i="1"/>
  <c r="J28" i="1"/>
  <c r="K28" i="1" s="1"/>
  <c r="L28" i="1" l="1"/>
  <c r="D30" i="1"/>
  <c r="G30" i="1"/>
  <c r="C31" i="1"/>
  <c r="H30" i="1"/>
  <c r="I30" i="1" s="1"/>
  <c r="E29" i="1"/>
  <c r="J29" i="1"/>
  <c r="K29" i="1" s="1"/>
  <c r="L29" i="1" l="1"/>
  <c r="H31" i="1"/>
  <c r="I31" i="1" s="1"/>
  <c r="G31" i="1"/>
  <c r="D31" i="1"/>
  <c r="C32" i="1"/>
  <c r="E30" i="1"/>
  <c r="J30" i="1"/>
  <c r="K30" i="1" s="1"/>
  <c r="H32" i="1" l="1"/>
  <c r="I32" i="1" s="1"/>
  <c r="C33" i="1"/>
  <c r="G32" i="1"/>
  <c r="D32" i="1"/>
  <c r="L30" i="1"/>
  <c r="J31" i="1"/>
  <c r="E31" i="1"/>
  <c r="L31" i="1" l="1"/>
  <c r="K31" i="1"/>
  <c r="E32" i="1"/>
  <c r="J32" i="1"/>
  <c r="G33" i="1"/>
  <c r="C34" i="1"/>
  <c r="D33" i="1"/>
  <c r="H33" i="1"/>
  <c r="I33" i="1" s="1"/>
  <c r="L32" i="1" l="1"/>
  <c r="K32" i="1"/>
  <c r="D34" i="1"/>
  <c r="C35" i="1"/>
  <c r="H34" i="1"/>
  <c r="I34" i="1" s="1"/>
  <c r="G34" i="1"/>
  <c r="E33" i="1"/>
  <c r="J33" i="1"/>
  <c r="K33" i="1" s="1"/>
  <c r="L33" i="1" l="1"/>
  <c r="H35" i="1"/>
  <c r="I35" i="1" s="1"/>
  <c r="G35" i="1"/>
  <c r="D35" i="1"/>
  <c r="C36" i="1"/>
  <c r="E34" i="1"/>
  <c r="J34" i="1"/>
  <c r="K34" i="1" s="1"/>
  <c r="H36" i="1" l="1"/>
  <c r="I36" i="1" s="1"/>
  <c r="C37" i="1"/>
  <c r="G36" i="1"/>
  <c r="D36" i="1"/>
  <c r="L34" i="1"/>
  <c r="J35" i="1"/>
  <c r="K35" i="1" s="1"/>
  <c r="E35" i="1"/>
  <c r="L35" i="1" l="1"/>
  <c r="E36" i="1"/>
  <c r="J36" i="1"/>
  <c r="K36" i="1" s="1"/>
  <c r="G37" i="1"/>
  <c r="C38" i="1"/>
  <c r="D37" i="1"/>
  <c r="H37" i="1"/>
  <c r="I37" i="1" s="1"/>
  <c r="L36" i="1" l="1"/>
  <c r="D38" i="1"/>
  <c r="G38" i="1"/>
  <c r="C39" i="1"/>
  <c r="H38" i="1"/>
  <c r="I38" i="1" s="1"/>
  <c r="E37" i="1"/>
  <c r="J37" i="1"/>
  <c r="K37" i="1" s="1"/>
  <c r="L37" i="1" l="1"/>
  <c r="H39" i="1"/>
  <c r="I39" i="1" s="1"/>
  <c r="G39" i="1"/>
  <c r="D39" i="1"/>
  <c r="C40" i="1"/>
  <c r="E38" i="1"/>
  <c r="J38" i="1"/>
  <c r="K38" i="1" s="1"/>
  <c r="H40" i="1" l="1"/>
  <c r="I40" i="1" s="1"/>
  <c r="C41" i="1"/>
  <c r="G40" i="1"/>
  <c r="D40" i="1"/>
  <c r="L38" i="1"/>
  <c r="J39" i="1"/>
  <c r="E39" i="1"/>
  <c r="L39" i="1" l="1"/>
  <c r="G41" i="1"/>
  <c r="D41" i="1"/>
  <c r="C42" i="1"/>
  <c r="H41" i="1"/>
  <c r="I41" i="1" s="1"/>
  <c r="K39" i="1"/>
  <c r="E40" i="1"/>
  <c r="J40" i="1"/>
  <c r="L40" i="1" l="1"/>
  <c r="D42" i="1"/>
  <c r="C43" i="1"/>
  <c r="H42" i="1"/>
  <c r="I42" i="1" s="1"/>
  <c r="G42" i="1"/>
  <c r="E41" i="1"/>
  <c r="J41" i="1"/>
  <c r="K41" i="1" s="1"/>
  <c r="K40" i="1"/>
  <c r="L41" i="1" l="1"/>
  <c r="H43" i="1"/>
  <c r="I43" i="1" s="1"/>
  <c r="C44" i="1"/>
  <c r="D43" i="1"/>
  <c r="G43" i="1"/>
  <c r="E42" i="1"/>
  <c r="J42" i="1"/>
  <c r="K42" i="1" s="1"/>
  <c r="G44" i="1" l="1"/>
  <c r="D44" i="1"/>
  <c r="C45" i="1"/>
  <c r="H44" i="1"/>
  <c r="I44" i="1" s="1"/>
  <c r="L42" i="1"/>
  <c r="J43" i="1"/>
  <c r="E43" i="1"/>
  <c r="L43" i="1" l="1"/>
  <c r="K43" i="1"/>
  <c r="D45" i="1"/>
  <c r="H45" i="1"/>
  <c r="I45" i="1" s="1"/>
  <c r="G45" i="1"/>
  <c r="C46" i="1"/>
  <c r="E44" i="1"/>
  <c r="J44" i="1"/>
  <c r="K44" i="1" s="1"/>
  <c r="L44" i="1" l="1"/>
  <c r="H46" i="1"/>
  <c r="I46" i="1" s="1"/>
  <c r="C47" i="1"/>
  <c r="G46" i="1"/>
  <c r="D46" i="1"/>
  <c r="E45" i="1"/>
  <c r="J45" i="1"/>
  <c r="K45" i="1" s="1"/>
  <c r="H47" i="1" l="1"/>
  <c r="I47" i="1" s="1"/>
  <c r="C48" i="1"/>
  <c r="G47" i="1"/>
  <c r="D47" i="1"/>
  <c r="L45" i="1"/>
  <c r="J46" i="1"/>
  <c r="E46" i="1"/>
  <c r="L46" i="1" l="1"/>
  <c r="G48" i="1"/>
  <c r="D48" i="1"/>
  <c r="C49" i="1"/>
  <c r="H48" i="1"/>
  <c r="I48" i="1" s="1"/>
  <c r="K46" i="1"/>
  <c r="J47" i="1"/>
  <c r="K47" i="1" s="1"/>
  <c r="E47" i="1"/>
  <c r="L47" i="1" l="1"/>
  <c r="D49" i="1"/>
  <c r="G49" i="1"/>
  <c r="C50" i="1"/>
  <c r="H49" i="1"/>
  <c r="I49" i="1" s="1"/>
  <c r="J48" i="1"/>
  <c r="K48" i="1" s="1"/>
  <c r="E48" i="1"/>
  <c r="L48" i="1" l="1"/>
  <c r="H50" i="1"/>
  <c r="I50" i="1" s="1"/>
  <c r="G50" i="1"/>
  <c r="D50" i="1"/>
  <c r="C51" i="1"/>
  <c r="E49" i="1"/>
  <c r="J49" i="1"/>
  <c r="K49" i="1" s="1"/>
  <c r="H51" i="1" l="1"/>
  <c r="I51" i="1" s="1"/>
  <c r="G51" i="1"/>
  <c r="C52" i="1"/>
  <c r="D51" i="1"/>
  <c r="L49" i="1"/>
  <c r="J50" i="1"/>
  <c r="E50" i="1"/>
  <c r="L50" i="1" l="1"/>
  <c r="K50" i="1"/>
  <c r="E51" i="1"/>
  <c r="J51" i="1"/>
  <c r="G52" i="1"/>
  <c r="C53" i="1"/>
  <c r="D52" i="1"/>
  <c r="H52" i="1"/>
  <c r="I52" i="1" s="1"/>
  <c r="L51" i="1" l="1"/>
  <c r="D53" i="1"/>
  <c r="C54" i="1"/>
  <c r="H53" i="1"/>
  <c r="I53" i="1" s="1"/>
  <c r="G53" i="1"/>
  <c r="J52" i="1"/>
  <c r="K52" i="1" s="1"/>
  <c r="E52" i="1"/>
  <c r="K51" i="1"/>
  <c r="L52" i="1" l="1"/>
  <c r="H54" i="1"/>
  <c r="I54" i="1" s="1"/>
  <c r="G54" i="1"/>
  <c r="D54" i="1"/>
  <c r="C55" i="1"/>
  <c r="E53" i="1"/>
  <c r="J53" i="1"/>
  <c r="K53" i="1" s="1"/>
  <c r="L53" i="1" l="1"/>
  <c r="J54" i="1"/>
  <c r="E54" i="1"/>
  <c r="H55" i="1"/>
  <c r="I55" i="1" s="1"/>
  <c r="C56" i="1"/>
  <c r="D55" i="1"/>
  <c r="G55" i="1"/>
  <c r="L54" i="1" l="1"/>
  <c r="G56" i="1"/>
  <c r="D56" i="1"/>
  <c r="C57" i="1"/>
  <c r="H56" i="1"/>
  <c r="I56" i="1" s="1"/>
  <c r="J55" i="1"/>
  <c r="E55" i="1"/>
  <c r="K54" i="1"/>
  <c r="L55" i="1" l="1"/>
  <c r="K55" i="1"/>
  <c r="D57" i="1"/>
  <c r="C58" i="1"/>
  <c r="H57" i="1"/>
  <c r="I57" i="1" s="1"/>
  <c r="G57" i="1"/>
  <c r="J56" i="1"/>
  <c r="K56" i="1" s="1"/>
  <c r="E56" i="1"/>
  <c r="L56" i="1" l="1"/>
  <c r="H58" i="1"/>
  <c r="I58" i="1" s="1"/>
  <c r="C59" i="1"/>
  <c r="G58" i="1"/>
  <c r="D58" i="1"/>
  <c r="E57" i="1"/>
  <c r="J57" i="1"/>
  <c r="K57" i="1" s="1"/>
  <c r="L57" i="1" l="1"/>
  <c r="J58" i="1"/>
  <c r="K58" i="1" s="1"/>
  <c r="E58" i="1"/>
  <c r="H59" i="1"/>
  <c r="I59" i="1" s="1"/>
  <c r="C60" i="1"/>
  <c r="G59" i="1"/>
  <c r="D59" i="1"/>
  <c r="L58" i="1" l="1"/>
  <c r="G60" i="1"/>
  <c r="D60" i="1"/>
  <c r="H60" i="1"/>
  <c r="I60" i="1" s="1"/>
  <c r="C61" i="1"/>
  <c r="J59" i="1"/>
  <c r="E59" i="1"/>
  <c r="L59" i="1" l="1"/>
  <c r="K59" i="1"/>
  <c r="D61" i="1"/>
  <c r="H61" i="1"/>
  <c r="I61" i="1" s="1"/>
  <c r="G61" i="1"/>
  <c r="C62" i="1"/>
  <c r="J60" i="1"/>
  <c r="E60" i="1"/>
  <c r="L60" i="1" l="1"/>
  <c r="H62" i="1"/>
  <c r="I62" i="1" s="1"/>
  <c r="D62" i="1"/>
  <c r="C63" i="1"/>
  <c r="G62" i="1"/>
  <c r="K60" i="1"/>
  <c r="E61" i="1"/>
  <c r="J61" i="1"/>
  <c r="K61" i="1" s="1"/>
  <c r="L61" i="1" l="1"/>
  <c r="H63" i="1"/>
  <c r="I63" i="1" s="1"/>
  <c r="G63" i="1"/>
  <c r="C64" i="1"/>
  <c r="D63" i="1"/>
  <c r="J62" i="1"/>
  <c r="E62" i="1"/>
  <c r="L62" i="1" l="1"/>
  <c r="E63" i="1"/>
  <c r="J63" i="1"/>
  <c r="K63" i="1" s="1"/>
  <c r="K62" i="1"/>
  <c r="G64" i="1"/>
  <c r="C65" i="1"/>
  <c r="D64" i="1"/>
  <c r="H64" i="1"/>
  <c r="I64" i="1" s="1"/>
  <c r="D65" i="1" l="1"/>
  <c r="H65" i="1"/>
  <c r="I65" i="1" s="1"/>
  <c r="G65" i="1"/>
  <c r="C66" i="1"/>
  <c r="J64" i="1"/>
  <c r="K64" i="1" s="1"/>
  <c r="E64" i="1"/>
  <c r="L63" i="1"/>
  <c r="H66" i="1" l="1"/>
  <c r="I66" i="1" s="1"/>
  <c r="D66" i="1"/>
  <c r="G66" i="1"/>
  <c r="C67" i="1"/>
  <c r="L64" i="1"/>
  <c r="E65" i="1"/>
  <c r="J65" i="1"/>
  <c r="K65" i="1" s="1"/>
  <c r="L65" i="1" l="1"/>
  <c r="H67" i="1"/>
  <c r="I67" i="1" s="1"/>
  <c r="D67" i="1"/>
  <c r="C68" i="1"/>
  <c r="G67" i="1"/>
  <c r="J66" i="1"/>
  <c r="E66" i="1"/>
  <c r="L66" i="1" l="1"/>
  <c r="K66" i="1"/>
  <c r="G68" i="1"/>
  <c r="C69" i="1"/>
  <c r="D68" i="1"/>
  <c r="H68" i="1"/>
  <c r="I68" i="1" s="1"/>
  <c r="E67" i="1"/>
  <c r="J67" i="1"/>
  <c r="K67" i="1" s="1"/>
  <c r="L67" i="1" l="1"/>
  <c r="H69" i="1"/>
  <c r="I69" i="1" s="1"/>
  <c r="G69" i="1"/>
  <c r="D69" i="1"/>
  <c r="C70" i="1"/>
  <c r="J68" i="1"/>
  <c r="K68" i="1" s="1"/>
  <c r="E68" i="1"/>
  <c r="L68" i="1" l="1"/>
  <c r="H70" i="1"/>
  <c r="I70" i="1" s="1"/>
  <c r="C71" i="1"/>
  <c r="D70" i="1"/>
  <c r="G70" i="1"/>
  <c r="J69" i="1"/>
  <c r="K69" i="1" s="1"/>
  <c r="E69" i="1"/>
  <c r="L69" i="1" l="1"/>
  <c r="D71" i="1"/>
  <c r="C72" i="1"/>
  <c r="H71" i="1"/>
  <c r="I71" i="1" s="1"/>
  <c r="G71" i="1"/>
  <c r="E70" i="1"/>
  <c r="J70" i="1"/>
  <c r="L70" i="1" l="1"/>
  <c r="K70" i="1"/>
  <c r="J71" i="1"/>
  <c r="E71" i="1"/>
  <c r="D72" i="1"/>
  <c r="G72" i="1"/>
  <c r="C73" i="1"/>
  <c r="H72" i="1"/>
  <c r="I72" i="1" s="1"/>
  <c r="L71" i="1" l="1"/>
  <c r="H73" i="1"/>
  <c r="I73" i="1" s="1"/>
  <c r="G73" i="1"/>
  <c r="C74" i="1"/>
  <c r="D73" i="1"/>
  <c r="K71" i="1"/>
  <c r="J72" i="1"/>
  <c r="K72" i="1" s="1"/>
  <c r="E72" i="1"/>
  <c r="H74" i="1" l="1"/>
  <c r="I74" i="1" s="1"/>
  <c r="C75" i="1"/>
  <c r="G74" i="1"/>
  <c r="D74" i="1"/>
  <c r="L72" i="1"/>
  <c r="J73" i="1"/>
  <c r="E73" i="1"/>
  <c r="L73" i="1" l="1"/>
  <c r="D75" i="1"/>
  <c r="C76" i="1"/>
  <c r="G75" i="1"/>
  <c r="H75" i="1"/>
  <c r="I75" i="1" s="1"/>
  <c r="E74" i="1"/>
  <c r="J74" i="1"/>
  <c r="K74" i="1" s="1"/>
  <c r="K73" i="1"/>
  <c r="D76" i="1" l="1"/>
  <c r="H76" i="1"/>
  <c r="I76" i="1" s="1"/>
  <c r="G76" i="1"/>
  <c r="C77" i="1"/>
  <c r="L74" i="1"/>
  <c r="J75" i="1"/>
  <c r="K75" i="1" s="1"/>
  <c r="E75" i="1"/>
  <c r="L75" i="1" l="1"/>
  <c r="H77" i="1"/>
  <c r="I77" i="1" s="1"/>
  <c r="G77" i="1"/>
  <c r="D77" i="1"/>
  <c r="C78" i="1"/>
  <c r="J76" i="1"/>
  <c r="K76" i="1" s="1"/>
  <c r="E76" i="1"/>
  <c r="H78" i="1" l="1"/>
  <c r="I78" i="1" s="1"/>
  <c r="C79" i="1"/>
  <c r="G78" i="1"/>
  <c r="D78" i="1"/>
  <c r="L76" i="1"/>
  <c r="J77" i="1"/>
  <c r="E77" i="1"/>
  <c r="L77" i="1" l="1"/>
  <c r="D79" i="1"/>
  <c r="H79" i="1"/>
  <c r="I79" i="1" s="1"/>
  <c r="C80" i="1"/>
  <c r="G79" i="1"/>
  <c r="E78" i="1"/>
  <c r="J78" i="1"/>
  <c r="K78" i="1" s="1"/>
  <c r="K77" i="1"/>
  <c r="L78" i="1" l="1"/>
  <c r="D80" i="1"/>
  <c r="G80" i="1"/>
  <c r="H80" i="1"/>
  <c r="I80" i="1" s="1"/>
  <c r="C81" i="1"/>
  <c r="J79" i="1"/>
  <c r="E79" i="1"/>
  <c r="L79" i="1" l="1"/>
  <c r="H81" i="1"/>
  <c r="I81" i="1" s="1"/>
  <c r="G81" i="1"/>
  <c r="D81" i="1"/>
  <c r="C82" i="1"/>
  <c r="K79" i="1"/>
  <c r="J80" i="1"/>
  <c r="K80" i="1" s="1"/>
  <c r="E80" i="1"/>
  <c r="H82" i="1" l="1"/>
  <c r="I82" i="1" s="1"/>
  <c r="C83" i="1"/>
  <c r="G82" i="1"/>
  <c r="D82" i="1"/>
  <c r="L80" i="1"/>
  <c r="J81" i="1"/>
  <c r="K81" i="1" s="1"/>
  <c r="E81" i="1"/>
  <c r="L81" i="1" l="1"/>
  <c r="E82" i="1"/>
  <c r="J82" i="1"/>
  <c r="C84" i="1"/>
  <c r="D83" i="1"/>
  <c r="H83" i="1"/>
  <c r="I83" i="1" s="1"/>
  <c r="G83" i="1"/>
  <c r="L82" i="1" l="1"/>
  <c r="K82" i="1"/>
  <c r="D84" i="1"/>
  <c r="H84" i="1"/>
  <c r="I84" i="1" s="1"/>
  <c r="C85" i="1"/>
  <c r="G84" i="1"/>
  <c r="J83" i="1"/>
  <c r="K83" i="1" s="1"/>
  <c r="E83" i="1"/>
  <c r="L83" i="1" l="1"/>
  <c r="H85" i="1"/>
  <c r="I85" i="1" s="1"/>
  <c r="G85" i="1"/>
  <c r="D85" i="1"/>
  <c r="C86" i="1"/>
  <c r="J84" i="1"/>
  <c r="E84" i="1"/>
  <c r="L84" i="1" l="1"/>
  <c r="H86" i="1"/>
  <c r="I86" i="1" s="1"/>
  <c r="C87" i="1"/>
  <c r="D86" i="1"/>
  <c r="G86" i="1"/>
  <c r="K84" i="1"/>
  <c r="J85" i="1"/>
  <c r="K85" i="1" s="1"/>
  <c r="E85" i="1"/>
  <c r="L85" i="1" l="1"/>
  <c r="E86" i="1"/>
  <c r="J86" i="1"/>
  <c r="K86" i="1" s="1"/>
  <c r="C88" i="1"/>
  <c r="D87" i="1"/>
  <c r="H87" i="1"/>
  <c r="I87" i="1" s="1"/>
  <c r="G87" i="1"/>
  <c r="L86" i="1" l="1"/>
  <c r="D88" i="1"/>
  <c r="H88" i="1"/>
  <c r="I88" i="1" s="1"/>
  <c r="G88" i="1"/>
  <c r="C89" i="1"/>
  <c r="E87" i="1"/>
  <c r="J87" i="1"/>
  <c r="K87" i="1" s="1"/>
  <c r="L87" i="1" l="1"/>
  <c r="H89" i="1"/>
  <c r="I89" i="1" s="1"/>
  <c r="G89" i="1"/>
  <c r="C90" i="1"/>
  <c r="D89" i="1"/>
  <c r="J88" i="1"/>
  <c r="E88" i="1"/>
  <c r="L88" i="1" l="1"/>
  <c r="H90" i="1"/>
  <c r="I90" i="1" s="1"/>
  <c r="C91" i="1"/>
  <c r="G90" i="1"/>
  <c r="D90" i="1"/>
  <c r="J89" i="1"/>
  <c r="K89" i="1" s="1"/>
  <c r="E89" i="1"/>
  <c r="K88" i="1"/>
  <c r="L89" i="1" l="1"/>
  <c r="D91" i="1"/>
  <c r="G91" i="1"/>
  <c r="C92" i="1"/>
  <c r="H91" i="1"/>
  <c r="I91" i="1" s="1"/>
  <c r="E90" i="1"/>
  <c r="J90" i="1"/>
  <c r="K90" i="1" s="1"/>
  <c r="L90" i="1" l="1"/>
  <c r="E91" i="1"/>
  <c r="J91" i="1"/>
  <c r="K91" i="1" s="1"/>
  <c r="D92" i="1"/>
  <c r="H92" i="1"/>
  <c r="I92" i="1" s="1"/>
  <c r="G92" i="1"/>
  <c r="C93" i="1"/>
  <c r="H93" i="1" l="1"/>
  <c r="I93" i="1" s="1"/>
  <c r="G93" i="1"/>
  <c r="C94" i="1"/>
  <c r="D93" i="1"/>
  <c r="L91" i="1"/>
  <c r="J92" i="1"/>
  <c r="K92" i="1" s="1"/>
  <c r="E92" i="1"/>
  <c r="H94" i="1" l="1"/>
  <c r="I94" i="1" s="1"/>
  <c r="C95" i="1"/>
  <c r="G94" i="1"/>
  <c r="D94" i="1"/>
  <c r="L92" i="1"/>
  <c r="J93" i="1"/>
  <c r="K93" i="1" s="1"/>
  <c r="E93" i="1"/>
  <c r="L93" i="1" l="1"/>
  <c r="E94" i="1"/>
  <c r="J94" i="1"/>
  <c r="K94" i="1" s="1"/>
  <c r="C96" i="1"/>
  <c r="D95" i="1"/>
  <c r="H95" i="1"/>
  <c r="I95" i="1" s="1"/>
  <c r="G95" i="1"/>
  <c r="D96" i="1" l="1"/>
  <c r="G96" i="1"/>
  <c r="C97" i="1"/>
  <c r="H96" i="1"/>
  <c r="I96" i="1" s="1"/>
  <c r="L94" i="1"/>
  <c r="E95" i="1"/>
  <c r="J95" i="1"/>
  <c r="K95" i="1" s="1"/>
  <c r="L95" i="1" l="1"/>
  <c r="H97" i="1"/>
  <c r="I97" i="1" s="1"/>
  <c r="G97" i="1"/>
  <c r="C98" i="1"/>
  <c r="D97" i="1"/>
  <c r="J96" i="1"/>
  <c r="K96" i="1" s="1"/>
  <c r="E96" i="1"/>
  <c r="L96" i="1" l="1"/>
  <c r="H98" i="1"/>
  <c r="I98" i="1" s="1"/>
  <c r="C99" i="1"/>
  <c r="G98" i="1"/>
  <c r="D98" i="1"/>
  <c r="J97" i="1"/>
  <c r="K97" i="1" s="1"/>
  <c r="E97" i="1"/>
  <c r="L97" i="1" l="1"/>
  <c r="D99" i="1"/>
  <c r="H99" i="1"/>
  <c r="I99" i="1" s="1"/>
  <c r="G99" i="1"/>
  <c r="E98" i="1"/>
  <c r="J98" i="1"/>
  <c r="K98" i="1" s="1"/>
  <c r="L98" i="1" l="1"/>
  <c r="E99" i="1"/>
  <c r="J99" i="1"/>
  <c r="L99" i="1" l="1"/>
  <c r="K99" i="1"/>
  <c r="F100" i="1" l="1"/>
  <c r="G100" i="1"/>
  <c r="J100" i="1" l="1"/>
  <c r="D100" i="1"/>
  <c r="H100" i="1"/>
  <c r="K13" i="1" l="1"/>
  <c r="E5" i="1" s="1"/>
</calcChain>
</file>

<file path=xl/sharedStrings.xml><?xml version="1.0" encoding="utf-8"?>
<sst xmlns="http://schemas.openxmlformats.org/spreadsheetml/2006/main" count="85" uniqueCount="84">
  <si>
    <t>Tasa de Interés</t>
  </si>
  <si>
    <t>Avalúo</t>
  </si>
  <si>
    <t>Comision x Admon.</t>
  </si>
  <si>
    <t>IVA</t>
  </si>
  <si>
    <t>Valor de Inmueble</t>
  </si>
  <si>
    <t>Comisión</t>
  </si>
  <si>
    <t>Gastos Notariales</t>
  </si>
  <si>
    <t>Pago</t>
  </si>
  <si>
    <t>Saldo incial</t>
  </si>
  <si>
    <t>Interes</t>
  </si>
  <si>
    <t>IVA Intereses</t>
  </si>
  <si>
    <t>Amort</t>
  </si>
  <si>
    <t>Seguro vida</t>
  </si>
  <si>
    <t>Seguro daños</t>
  </si>
  <si>
    <t>IVA Seguro</t>
  </si>
  <si>
    <t>Com. Admon</t>
  </si>
  <si>
    <t>FLUJO CAT</t>
  </si>
  <si>
    <t>Pago Total</t>
  </si>
  <si>
    <t>Pago inicial (Comisión + Avalúo + Gastos Notariales + IVA)</t>
  </si>
  <si>
    <t>TOTAL</t>
  </si>
  <si>
    <t>Importe del Crédito</t>
  </si>
  <si>
    <t>Rango Menor</t>
  </si>
  <si>
    <t>Rango Mayor</t>
  </si>
  <si>
    <t>Porcentaje</t>
  </si>
  <si>
    <t>Aplicado</t>
  </si>
  <si>
    <t>Mayor</t>
  </si>
  <si>
    <t>Tope</t>
  </si>
  <si>
    <t>Monto</t>
  </si>
  <si>
    <t>cve_estado</t>
  </si>
  <si>
    <t>dl_estado</t>
  </si>
  <si>
    <t>Tope H_Not</t>
  </si>
  <si>
    <t>Seguro Daños</t>
  </si>
  <si>
    <t>Seguro Vida</t>
  </si>
  <si>
    <t>Tabulador</t>
  </si>
  <si>
    <t>Zona Fronteriza</t>
  </si>
  <si>
    <t>Importe de crédito</t>
  </si>
  <si>
    <t xml:space="preserve">mensual  </t>
  </si>
  <si>
    <t xml:space="preserve">al millar  </t>
  </si>
  <si>
    <t>Adquisición Inmueble</t>
  </si>
  <si>
    <t>Adquisición Terreno</t>
  </si>
  <si>
    <t>Uso Propio</t>
  </si>
  <si>
    <t>Arrendador</t>
  </si>
  <si>
    <t>Construcción Terreno</t>
  </si>
  <si>
    <t>Aguascalientes</t>
  </si>
  <si>
    <t>Campeche</t>
  </si>
  <si>
    <t>Coahuila</t>
  </si>
  <si>
    <t>Colima</t>
  </si>
  <si>
    <t>Chiapas</t>
  </si>
  <si>
    <t>Chihuahua</t>
  </si>
  <si>
    <t>Cdmx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</si>
  <si>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</si>
  <si>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</si>
  <si>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</si>
  <si>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</si>
  <si>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</si>
  <si>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</si>
  <si>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</si>
  <si>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</si>
  <si>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</si>
  <si>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</si>
  <si>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</si>
  <si>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</si>
  <si>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</si>
  <si>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</si>
  <si>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</si>
  <si>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</si>
  <si>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</si>
  <si>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</si>
  <si>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</si>
  <si>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</si>
  <si>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</si>
  <si>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</si>
  <si>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</si>
  <si>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Baja Norte</t>
  </si>
  <si>
    <t>Baja Sur</t>
  </si>
  <si>
    <t>1 Año</t>
  </si>
  <si>
    <t>2 Años</t>
  </si>
  <si>
    <t>3 Años</t>
  </si>
  <si>
    <t>4 Años</t>
  </si>
  <si>
    <t>5 Años</t>
  </si>
  <si>
    <t>P. Moral</t>
  </si>
  <si>
    <t>P. Física Act. Emp.</t>
  </si>
  <si>
    <t>6 Años</t>
  </si>
  <si>
    <t>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</si>
</sst>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  <numFmt numFmtId="167" formatCode="&quot;% Fin:  &quot;0%"/>
    <numFmt numFmtId="168" formatCode="#,##0;[Red]\-#,##0;&quot;--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fgColor theme="7" tint="0.3999450666829432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7" tint="0.79998168889431442"/>
      </left>
      <right/>
      <top style="thick">
        <color theme="7" tint="0.79998168889431442"/>
      </top>
      <bottom/>
      <diagonal/>
    </border>
    <border>
      <left/>
      <right/>
      <top style="thick">
        <color theme="7" tint="0.79998168889431442"/>
      </top>
      <bottom/>
      <diagonal/>
    </border>
    <border>
      <left/>
      <right style="thick">
        <color theme="7" tint="0.79998168889431442"/>
      </right>
      <top style="thick">
        <color theme="7" tint="0.79998168889431442"/>
      </top>
      <bottom/>
      <diagonal/>
    </border>
    <border>
      <left style="thick">
        <color theme="7" tint="0.79998168889431442"/>
      </left>
      <right/>
      <top/>
      <bottom/>
      <diagonal/>
    </border>
    <border>
      <left/>
      <right style="thick">
        <color theme="7" tint="0.79998168889431442"/>
      </right>
      <top/>
      <bottom/>
      <diagonal/>
    </border>
    <border>
      <left style="thick">
        <color theme="7" tint="0.79998168889431442"/>
      </left>
      <right/>
      <top/>
      <bottom style="thick">
        <color theme="7" tint="0.79998168889431442"/>
      </bottom>
      <diagonal/>
    </border>
    <border>
      <left/>
      <right/>
      <top/>
      <bottom style="thick">
        <color theme="7" tint="0.79998168889431442"/>
      </bottom>
      <diagonal/>
    </border>
    <border>
      <left/>
      <right style="thick">
        <color theme="7" tint="0.79998168889431442"/>
      </right>
      <top/>
      <bottom style="thick">
        <color theme="7" tint="0.7999816888943144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3">
    <xf numFmtId="0" fontId="0" fillId="0" borderId="0" xfId="0"/>
    <xf numFmtId="10" fontId="0" fillId="0" borderId="0" xfId="2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21" xfId="0" applyNumberFormat="1" applyBorder="1" applyAlignment="1" applyProtection="1">
      <alignment vertical="center"/>
      <protection hidden="1"/>
    </xf>
    <xf numFmtId="0" fontId="0" fillId="0" borderId="22" xfId="0" applyBorder="1" applyAlignment="1" applyProtection="1">
      <alignment horizontal="right" vertical="center"/>
      <protection hidden="1"/>
    </xf>
    <xf numFmtId="9" fontId="0" fillId="0" borderId="22" xfId="2" applyFont="1" applyFill="1" applyBorder="1" applyAlignment="1" applyProtection="1">
      <alignment vertical="center"/>
      <protection hidden="1"/>
    </xf>
    <xf numFmtId="10" fontId="0" fillId="5" borderId="22" xfId="0" applyNumberFormat="1" applyFill="1" applyBorder="1" applyAlignment="1" applyProtection="1">
      <alignment vertical="center"/>
      <protection locked="0"/>
    </xf>
    <xf numFmtId="2" fontId="0" fillId="5" borderId="22" xfId="0" applyNumberFormat="1" applyFill="1" applyBorder="1" applyAlignment="1" applyProtection="1">
      <alignment vertical="center"/>
      <protection locked="0"/>
    </xf>
    <xf numFmtId="2" fontId="5" fillId="5" borderId="2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hidden="1"/>
    </xf>
    <xf numFmtId="0" fontId="0" fillId="0" borderId="21" xfId="0" applyBorder="1" applyProtection="1">
      <protection hidden="1"/>
    </xf>
    <xf numFmtId="0" fontId="5" fillId="0" borderId="21" xfId="0" applyFont="1" applyBorder="1" applyAlignment="1" applyProtection="1">
      <alignment horizontal="right" vertical="center"/>
      <protection hidden="1"/>
    </xf>
    <xf numFmtId="0" fontId="0" fillId="0" borderId="22" xfId="0" applyBorder="1" applyProtection="1">
      <protection hidden="1"/>
    </xf>
    <xf numFmtId="0" fontId="5" fillId="0" borderId="2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1" xfId="0" applyBorder="1" applyAlignment="1" applyProtection="1">
      <alignment horizontal="right" vertical="center"/>
      <protection hidden="1"/>
    </xf>
    <xf numFmtId="0" fontId="0" fillId="0" borderId="22" xfId="0" applyBorder="1" applyAlignment="1" applyProtection="1">
      <alignment vertical="center" wrapText="1"/>
      <protection hidden="1"/>
    </xf>
    <xf numFmtId="0" fontId="0" fillId="0" borderId="22" xfId="0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0" fontId="5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64" fontId="4" fillId="2" borderId="1" xfId="1" applyNumberFormat="1" applyFont="1" applyFill="1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5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7" xfId="0" applyNumberFormat="1" applyBorder="1" applyProtection="1">
      <protection hidden="1"/>
    </xf>
    <xf numFmtId="164" fontId="5" fillId="0" borderId="6" xfId="0" applyNumberFormat="1" applyFont="1" applyBorder="1" applyProtection="1">
      <protection hidden="1"/>
    </xf>
    <xf numFmtId="164" fontId="0" fillId="0" borderId="0" xfId="0" applyNumberFormat="1" applyProtection="1">
      <protection hidden="1"/>
    </xf>
    <xf numFmtId="164" fontId="5" fillId="0" borderId="6" xfId="1" applyNumberFormat="1" applyFont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164" fontId="0" fillId="0" borderId="10" xfId="0" applyNumberFormat="1" applyBorder="1" applyProtection="1">
      <protection hidden="1"/>
    </xf>
    <xf numFmtId="164" fontId="5" fillId="0" borderId="10" xfId="0" applyNumberFormat="1" applyFont="1" applyBorder="1" applyProtection="1">
      <protection hidden="1"/>
    </xf>
    <xf numFmtId="164" fontId="5" fillId="0" borderId="10" xfId="1" applyNumberFormat="1" applyFont="1" applyBorder="1" applyProtection="1">
      <protection hidden="1"/>
    </xf>
    <xf numFmtId="164" fontId="0" fillId="0" borderId="9" xfId="1" applyNumberFormat="1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4" fontId="4" fillId="3" borderId="12" xfId="0" applyNumberFormat="1" applyFont="1" applyFill="1" applyBorder="1" applyAlignment="1" applyProtection="1">
      <alignment vertical="center"/>
      <protection hidden="1"/>
    </xf>
    <xf numFmtId="0" fontId="4" fillId="3" borderId="12" xfId="0" applyFont="1" applyFill="1" applyBorder="1" applyAlignment="1" applyProtection="1">
      <alignment vertic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8" fontId="0" fillId="5" borderId="22" xfId="0" applyNumberFormat="1" applyFill="1" applyBorder="1" applyAlignment="1" applyProtection="1">
      <alignment vertical="center"/>
      <protection locked="0"/>
    </xf>
    <xf numFmtId="168" fontId="5" fillId="5" borderId="21" xfId="0" applyNumberFormat="1" applyFont="1" applyFill="1" applyBorder="1" applyAlignment="1" applyProtection="1">
      <alignment horizontal="right" vertical="center"/>
      <protection locked="0"/>
    </xf>
    <xf numFmtId="168" fontId="5" fillId="5" borderId="22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left" vertical="center" indent="1"/>
      <protection hidden="1"/>
    </xf>
    <xf numFmtId="167" fontId="6" fillId="0" borderId="22" xfId="0" applyNumberFormat="1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9" fillId="0" borderId="21" xfId="0" applyFont="1" applyBorder="1" applyAlignment="1" applyProtection="1">
      <alignment horizontal="left" vertical="center" indent="1"/>
      <protection hidden="1"/>
    </xf>
    <xf numFmtId="168" fontId="8" fillId="0" borderId="22" xfId="0" applyNumberFormat="1" applyFont="1" applyBorder="1" applyAlignment="1" applyProtection="1">
      <alignment horizontal="left" vertical="center" indent="1"/>
      <protection hidden="1"/>
    </xf>
    <xf numFmtId="0" fontId="7" fillId="0" borderId="22" xfId="0" applyFont="1" applyBorder="1" applyAlignment="1" applyProtection="1">
      <alignment horizontal="left" vertical="center" indent="1"/>
      <protection hidden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/>
    <xf numFmtId="3" fontId="0" fillId="4" borderId="0" xfId="0" applyNumberFormat="1" applyFill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0" fontId="0" fillId="0" borderId="0" xfId="0" applyNumberFormat="1"/>
    <xf numFmtId="3" fontId="0" fillId="0" borderId="17" xfId="0" applyNumberFormat="1" applyBorder="1"/>
    <xf numFmtId="9" fontId="0" fillId="4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66" fontId="0" fillId="0" borderId="18" xfId="0" applyNumberFormat="1" applyBorder="1"/>
    <xf numFmtId="0" fontId="0" fillId="0" borderId="19" xfId="0" applyBorder="1"/>
    <xf numFmtId="10" fontId="0" fillId="0" borderId="19" xfId="0" applyNumberFormat="1" applyBorder="1"/>
    <xf numFmtId="3" fontId="0" fillId="0" borderId="20" xfId="0" applyNumberFormat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4">
    <cellStyle name="Millares" xfId="1" builtinId="3"/>
    <cellStyle name="Normal" xfId="0" builtinId="0"/>
    <cellStyle name="Porcentaje" xfId="2" builtinId="5"/>
    <cellStyle name="Porcentu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5" fmlaLink="Parametros!$G$18" fmlaRange="Parametros!$H$19:$H$21" noThreeD="1" sel="3" val="0"/>
</file>

<file path=xl/ctrlProps/ctrlProp2.xml><?xml version="1.0" encoding="utf-8"?>
<formControlPr xmlns="http://schemas.microsoft.com/office/spreadsheetml/2009/9/main" objectType="Drop" dropStyle="combo" dx="25" fmlaLink="Parametros!$G$13" fmlaRange="Parametros!$H$14:$H$15" noThreeD="1" sel="1" val="0"/>
</file>

<file path=xl/ctrlProps/ctrlProp3.xml><?xml version="1.0" encoding="utf-8"?>
<formControlPr xmlns="http://schemas.microsoft.com/office/spreadsheetml/2009/9/main" objectType="Drop" dropStyle="combo" dx="25" fmlaLink="Parametros!$B$20" fmlaRange="Parametros!$C$22:$C$53" noThreeD="1" sel="19" val="12"/>
</file>

<file path=xl/ctrlProps/ctrlProp4.xml><?xml version="1.0" encoding="utf-8"?>
<formControlPr xmlns="http://schemas.microsoft.com/office/spreadsheetml/2009/9/main" objectType="CheckBox" fmlaLink="Parametros!$C$17" lockText="1"/>
</file>

<file path=xl/ctrlProps/ctrlProp5.xml><?xml version="1.0" encoding="utf-8"?>
<formControlPr xmlns="http://schemas.microsoft.com/office/spreadsheetml/2009/9/main" objectType="Drop" dropStyle="combo" dx="25" fmlaLink="Parametros!$G$3" fmlaRange="Parametros!$H$4:$H$10" noThreeD="1" sel="7" val="0"/>
</file>

<file path=xl/ctrlProps/ctrlProp6.xml><?xml version="1.0" encoding="utf-8"?>
<formControlPr xmlns="http://schemas.microsoft.com/office/spreadsheetml/2009/9/main" objectType="Radio" checked="Checked" firstButton="1" fmlaLink="Parametros!$G$25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43703</xdr:colOff>
      <xdr:row>4</xdr:row>
      <xdr:rowOff>182283</xdr:rowOff>
    </xdr:from>
    <xdr:to>
      <xdr:col>11</xdr:col>
      <xdr:colOff>844176</xdr:colOff>
      <xdr:row>12</xdr:row>
      <xdr:rowOff>14941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24644" y="929342"/>
          <a:ext cx="1749238" cy="1565834"/>
        </a:xfrm>
        <a:prstGeom prst="rect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7</xdr:row>
          <xdr:rowOff>0</xdr:rowOff>
        </xdr:from>
        <xdr:to>
          <xdr:col>11</xdr:col>
          <xdr:colOff>622300</xdr:colOff>
          <xdr:row>8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8</xdr:row>
          <xdr:rowOff>146050</xdr:rowOff>
        </xdr:from>
        <xdr:to>
          <xdr:col>11</xdr:col>
          <xdr:colOff>622300</xdr:colOff>
          <xdr:row>9</xdr:row>
          <xdr:rowOff>146050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10</xdr:row>
          <xdr:rowOff>69850</xdr:rowOff>
        </xdr:from>
        <xdr:to>
          <xdr:col>11</xdr:col>
          <xdr:colOff>622300</xdr:colOff>
          <xdr:row>11</xdr:row>
          <xdr:rowOff>69850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11</xdr:row>
          <xdr:rowOff>0</xdr:rowOff>
        </xdr:from>
        <xdr:to>
          <xdr:col>5</xdr:col>
          <xdr:colOff>50800</xdr:colOff>
          <xdr:row>12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Zona Fronteriza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735680</xdr:colOff>
      <xdr:row>7</xdr:row>
      <xdr:rowOff>26760</xdr:rowOff>
    </xdr:from>
    <xdr:ext cx="440313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67856" y="1423760"/>
          <a:ext cx="440313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r"/>
          <a:r>
            <a:rPr lang="es-MX" sz="1100"/>
            <a:t>Destino</a:t>
          </a:r>
        </a:p>
      </xdr:txBody>
    </xdr:sp>
    <xdr:clientData/>
  </xdr:oneCellAnchor>
  <xdr:oneCellAnchor>
    <xdr:from>
      <xdr:col>8</xdr:col>
      <xdr:colOff>292353</xdr:colOff>
      <xdr:row>8</xdr:row>
      <xdr:rowOff>175119</xdr:rowOff>
    </xdr:from>
    <xdr:ext cx="883640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24529" y="1788766"/>
          <a:ext cx="883640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r"/>
          <a:r>
            <a:rPr lang="es-MX" sz="1100"/>
            <a:t>Financiamiento</a:t>
          </a:r>
        </a:p>
      </xdr:txBody>
    </xdr:sp>
    <xdr:clientData/>
  </xdr:oneCellAnchor>
  <xdr:oneCellAnchor>
    <xdr:from>
      <xdr:col>8</xdr:col>
      <xdr:colOff>788643</xdr:colOff>
      <xdr:row>10</xdr:row>
      <xdr:rowOff>106830</xdr:rowOff>
    </xdr:from>
    <xdr:ext cx="387350" cy="17222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20819" y="2153771"/>
          <a:ext cx="387350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r>
            <a:rPr lang="es-MX" sz="1100"/>
            <a:t>Estado</a:t>
          </a:r>
        </a:p>
      </xdr:txBody>
    </xdr:sp>
    <xdr:clientData/>
  </xdr:oneCellAnchor>
  <xdr:twoCellAnchor editAs="oneCell">
    <xdr:from>
      <xdr:col>8</xdr:col>
      <xdr:colOff>366553</xdr:colOff>
      <xdr:row>1</xdr:row>
      <xdr:rowOff>7470</xdr:rowOff>
    </xdr:from>
    <xdr:to>
      <xdr:col>12</xdr:col>
      <xdr:colOff>14277</xdr:colOff>
      <xdr:row>3</xdr:row>
      <xdr:rowOff>43076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024" y="194235"/>
          <a:ext cx="2516429" cy="4689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298450</xdr:colOff>
          <xdr:row>5</xdr:row>
          <xdr:rowOff>69850</xdr:rowOff>
        </xdr:from>
        <xdr:to>
          <xdr:col>11</xdr:col>
          <xdr:colOff>609600</xdr:colOff>
          <xdr:row>6</xdr:row>
          <xdr:rowOff>69850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868542</xdr:colOff>
      <xdr:row>5</xdr:row>
      <xdr:rowOff>95048</xdr:rowOff>
    </xdr:from>
    <xdr:ext cx="302968" cy="17222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00718" y="1058754"/>
          <a:ext cx="302968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r"/>
          <a:r>
            <a:rPr lang="es-MX" sz="1100"/>
            <a:t>Plazo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10</xdr:row>
          <xdr:rowOff>107950</xdr:rowOff>
        </xdr:from>
        <xdr:to>
          <xdr:col>6</xdr:col>
          <xdr:colOff>336550</xdr:colOff>
          <xdr:row>11</xdr:row>
          <xdr:rowOff>114300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Moral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11</xdr:row>
          <xdr:rowOff>114300</xdr:rowOff>
        </xdr:from>
        <xdr:to>
          <xdr:col>6</xdr:col>
          <xdr:colOff>342900</xdr:colOff>
          <xdr:row>12</xdr:row>
          <xdr:rowOff>127000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P. Física Act. Emp.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00"/>
  <sheetViews>
    <sheetView showGridLines="0" showRowColHeaders="0" tabSelected="1" zoomScale="85" zoomScaleNormal="85" workbookViewId="0">
      <pane ySplit="14" topLeftCell="A15" activePane="bottomLeft" state="frozen"/>
      <selection pane="bottomLeft" activeCell="D2" sqref="D2"/>
    </sheetView>
  </sheetViews>
  <sheetFormatPr baseColWidth="10" defaultColWidth="10.81640625" defaultRowHeight="14.5" x14ac:dyDescent="0.35"/>
  <cols>
    <col min="1" max="1" width="2.54296875" customWidth="1"/>
    <col min="2" max="2" width="8" customWidth="1"/>
    <col min="3" max="10" width="13.54296875" customWidth="1"/>
    <col min="11" max="11" width="13.54296875" hidden="1" customWidth="1"/>
    <col min="12" max="12" width="13.54296875" customWidth="1"/>
    <col min="13" max="13" width="2.54296875" customWidth="1"/>
    <col min="16" max="16" width="11.453125" bestFit="1" customWidth="1"/>
  </cols>
  <sheetData>
    <row r="1" spans="1:13" s="12" customFormat="1" x14ac:dyDescent="0.35"/>
    <row r="2" spans="1:13" ht="17.149999999999999" customHeight="1" x14ac:dyDescent="0.35">
      <c r="A2" s="12"/>
      <c r="B2" s="13"/>
      <c r="C2" s="14" t="s">
        <v>4</v>
      </c>
      <c r="D2" s="48">
        <v>8000000</v>
      </c>
      <c r="E2" s="50"/>
      <c r="F2" s="56" t="str">
        <f>IF(AND(D3&lt;400000,Parametros!G13=1,Parametros!G18&lt;&gt;2),"No cumple con el monto mínimo a solicitar",IF(D3&gt;15000000,"Sobrepasa el monto máximo a solicitar",IF(AND(Parametros!$G$13=2,Parametros!$G$18=2),"No puede ser financiado","")))</f>
        <v/>
      </c>
    </row>
    <row r="3" spans="1:13" ht="17.149999999999999" customHeight="1" x14ac:dyDescent="0.35">
      <c r="A3" s="12"/>
      <c r="B3" s="15"/>
      <c r="C3" s="16" t="s">
        <v>35</v>
      </c>
      <c r="D3" s="49">
        <f>E3*D2</f>
        <v>7200000</v>
      </c>
      <c r="E3" s="51">
        <f>IF(_xlfn.ISFORMULA(D3),Financiamiento,D3/D2)</f>
        <v>0.9</v>
      </c>
      <c r="F3" s="57" t="str">
        <f>IF(D3/D2&gt;E3,"%Financiamiento superior al límite","")</f>
        <v/>
      </c>
      <c r="J3" s="2"/>
    </row>
    <row r="4" spans="1:13" ht="10" customHeight="1" x14ac:dyDescent="0.35">
      <c r="A4" s="12"/>
      <c r="B4" s="12"/>
      <c r="C4" s="17"/>
      <c r="D4" s="3"/>
      <c r="E4" s="52"/>
      <c r="J4" s="2"/>
    </row>
    <row r="5" spans="1:13" ht="17.149999999999999" customHeight="1" x14ac:dyDescent="0.35">
      <c r="A5" s="12"/>
      <c r="B5" s="13"/>
      <c r="C5" s="18" t="s">
        <v>0</v>
      </c>
      <c r="D5" s="6">
        <v>0.155</v>
      </c>
      <c r="E5" s="53" t="str">
        <f>"CAT:  "&amp;IFERROR(TEXT(CAT,"0.00%"),"0%")</f>
        <v>CAT:  19.03%</v>
      </c>
    </row>
    <row r="6" spans="1:13" ht="17.149999999999999" customHeight="1" x14ac:dyDescent="0.35">
      <c r="A6" s="12"/>
      <c r="B6" s="15"/>
      <c r="C6" s="7" t="s">
        <v>5</v>
      </c>
      <c r="D6" s="9">
        <v>0.02</v>
      </c>
      <c r="E6" s="54">
        <f>D3*D6</f>
        <v>144000</v>
      </c>
    </row>
    <row r="7" spans="1:13" ht="17.149999999999999" customHeight="1" x14ac:dyDescent="0.35">
      <c r="A7" s="12"/>
      <c r="B7" s="15"/>
      <c r="C7" s="7" t="s">
        <v>1</v>
      </c>
      <c r="D7" s="9">
        <v>2.5000000000000001E-3</v>
      </c>
      <c r="E7" s="54">
        <f>(D2*D7)</f>
        <v>20000</v>
      </c>
      <c r="J7" s="3"/>
      <c r="L7" s="4"/>
      <c r="M7" s="5"/>
    </row>
    <row r="8" spans="1:13" ht="17.149999999999999" customHeight="1" x14ac:dyDescent="0.35">
      <c r="A8" s="12"/>
      <c r="B8" s="15"/>
      <c r="C8" s="7" t="s">
        <v>6</v>
      </c>
      <c r="D8" s="7" t="s">
        <v>33</v>
      </c>
      <c r="E8" s="54">
        <f>CHOOSE(TOPE,MIN(VLOOKUP($D$3,H_Not,3,1)*$D$3,VLOOKUP($D$3,H_Not,4,1)),VLOOKUP($D$3,H_Not,3,1)*$D$3)</f>
        <v>36000</v>
      </c>
    </row>
    <row r="9" spans="1:13" ht="17.149999999999999" customHeight="1" x14ac:dyDescent="0.35">
      <c r="A9" s="12"/>
      <c r="B9" s="15"/>
      <c r="C9" s="7" t="s">
        <v>2</v>
      </c>
      <c r="D9" s="47">
        <v>0</v>
      </c>
      <c r="E9" s="55" t="s">
        <v>36</v>
      </c>
    </row>
    <row r="10" spans="1:13" ht="17.149999999999999" customHeight="1" x14ac:dyDescent="0.35">
      <c r="A10" s="12"/>
      <c r="B10" s="19"/>
      <c r="C10" s="7" t="s">
        <v>31</v>
      </c>
      <c r="D10" s="10">
        <v>0.5</v>
      </c>
      <c r="E10" s="55" t="s">
        <v>37</v>
      </c>
    </row>
    <row r="11" spans="1:13" ht="17.149999999999999" customHeight="1" x14ac:dyDescent="0.35">
      <c r="A11" s="12"/>
      <c r="B11" s="19"/>
      <c r="C11" s="16" t="s">
        <v>32</v>
      </c>
      <c r="D11" s="11">
        <v>0</v>
      </c>
      <c r="E11" s="55" t="s">
        <v>37</v>
      </c>
    </row>
    <row r="12" spans="1:13" ht="17.149999999999999" customHeight="1" x14ac:dyDescent="0.35">
      <c r="A12" s="12"/>
      <c r="B12" s="15"/>
      <c r="C12" s="7" t="s">
        <v>3</v>
      </c>
      <c r="D12" s="8">
        <f>Parametros!I25</f>
        <v>0</v>
      </c>
      <c r="E12" s="20"/>
      <c r="M12" s="1"/>
    </row>
    <row r="13" spans="1:13" s="12" customFormat="1" x14ac:dyDescent="0.35">
      <c r="J13" s="21"/>
      <c r="K13" s="22">
        <f>(1+IRR($K$15:$K$99,0))^12-1</f>
        <v>0.19032975635618721</v>
      </c>
    </row>
    <row r="14" spans="1:13" s="12" customFormat="1" x14ac:dyDescent="0.35">
      <c r="B14" s="23" t="s">
        <v>7</v>
      </c>
      <c r="C14" s="24" t="s">
        <v>8</v>
      </c>
      <c r="D14" s="24" t="s">
        <v>9</v>
      </c>
      <c r="E14" s="24" t="s">
        <v>10</v>
      </c>
      <c r="F14" s="24" t="s">
        <v>11</v>
      </c>
      <c r="G14" s="24" t="s">
        <v>12</v>
      </c>
      <c r="H14" s="24" t="s">
        <v>13</v>
      </c>
      <c r="I14" s="24" t="s">
        <v>14</v>
      </c>
      <c r="J14" s="24" t="s">
        <v>15</v>
      </c>
      <c r="K14" s="24" t="s">
        <v>16</v>
      </c>
      <c r="L14" s="24" t="s">
        <v>17</v>
      </c>
    </row>
    <row r="15" spans="1:13" s="12" customFormat="1" x14ac:dyDescent="0.35">
      <c r="B15" s="25" t="s">
        <v>18</v>
      </c>
      <c r="C15" s="26"/>
      <c r="D15" s="26"/>
      <c r="E15" s="26"/>
      <c r="F15" s="26"/>
      <c r="G15" s="26"/>
      <c r="H15" s="26"/>
      <c r="I15" s="26"/>
      <c r="J15" s="26"/>
      <c r="K15" s="46">
        <f>-D3+E6+E7+E8</f>
        <v>-7000000</v>
      </c>
      <c r="L15" s="27">
        <f>SUM(E6:E8)*(1+D12)</f>
        <v>200000</v>
      </c>
    </row>
    <row r="16" spans="1:13" s="12" customFormat="1" x14ac:dyDescent="0.35">
      <c r="B16" s="28">
        <v>1</v>
      </c>
      <c r="C16" s="29">
        <f>D3</f>
        <v>7200000</v>
      </c>
      <c r="D16" s="30">
        <f t="shared" ref="D16:D47" si="0">C16*$D$5/12</f>
        <v>93000</v>
      </c>
      <c r="E16" s="31">
        <f t="shared" ref="E16:E47" si="1">D16*$D$12</f>
        <v>0</v>
      </c>
      <c r="F16" s="31">
        <f t="shared" ref="F16:F47" si="2">IFERROR(PPMT($D$5/12,B16,Plazo,-$C$16),0)</f>
        <v>47964.097331224817</v>
      </c>
      <c r="G16" s="30">
        <f t="shared" ref="G16:G47" si="3">C16*$D$11/1000</f>
        <v>0</v>
      </c>
      <c r="H16" s="32">
        <f t="shared" ref="H16:H47" si="4">IF(C16&lt;0.01,0,($D$2*$D$10/1000)*1.0802)</f>
        <v>4320.8</v>
      </c>
      <c r="I16" s="32">
        <f t="shared" ref="I16:I47" si="5">H16*$D$12</f>
        <v>0</v>
      </c>
      <c r="J16" s="30">
        <f t="shared" ref="J16:J47" si="6">IF(D16&lt;0.01,0,$D$9)</f>
        <v>0</v>
      </c>
      <c r="K16" s="33">
        <f t="shared" ref="K16:K79" si="7">D16+F16+G16+H16+J16</f>
        <v>145284.89733122481</v>
      </c>
      <c r="L16" s="34">
        <f>D16+F16+G16+H16+J16+E16+I16</f>
        <v>145284.89733122481</v>
      </c>
    </row>
    <row r="17" spans="2:12" s="12" customFormat="1" x14ac:dyDescent="0.35">
      <c r="B17" s="35">
        <v>2</v>
      </c>
      <c r="C17" s="36">
        <f t="shared" ref="C17:C27" si="8">C16-F16</f>
        <v>7152035.9026687751</v>
      </c>
      <c r="D17" s="37">
        <f t="shared" si="0"/>
        <v>92380.463742805005</v>
      </c>
      <c r="E17" s="33">
        <f t="shared" si="1"/>
        <v>0</v>
      </c>
      <c r="F17" s="33">
        <f t="shared" si="2"/>
        <v>48583.633588419805</v>
      </c>
      <c r="G17" s="37">
        <f t="shared" si="3"/>
        <v>0</v>
      </c>
      <c r="H17" s="38">
        <f t="shared" si="4"/>
        <v>4320.8</v>
      </c>
      <c r="I17" s="38">
        <f t="shared" si="5"/>
        <v>0</v>
      </c>
      <c r="J17" s="37">
        <f t="shared" si="6"/>
        <v>0</v>
      </c>
      <c r="K17" s="33">
        <f t="shared" si="7"/>
        <v>145284.89733122481</v>
      </c>
      <c r="L17" s="39">
        <f t="shared" ref="L17:L80" si="9">D17+F17+G17+H17+J17+E17+I17</f>
        <v>145284.89733122481</v>
      </c>
    </row>
    <row r="18" spans="2:12" s="12" customFormat="1" x14ac:dyDescent="0.35">
      <c r="B18" s="35">
        <v>3</v>
      </c>
      <c r="C18" s="36">
        <f t="shared" si="8"/>
        <v>7103452.2690803548</v>
      </c>
      <c r="D18" s="37">
        <f t="shared" si="0"/>
        <v>91752.925142287917</v>
      </c>
      <c r="E18" s="33">
        <f t="shared" si="1"/>
        <v>0</v>
      </c>
      <c r="F18" s="33">
        <f t="shared" si="2"/>
        <v>49211.172188936886</v>
      </c>
      <c r="G18" s="37">
        <f t="shared" si="3"/>
        <v>0</v>
      </c>
      <c r="H18" s="38">
        <f t="shared" si="4"/>
        <v>4320.8</v>
      </c>
      <c r="I18" s="38">
        <f t="shared" si="5"/>
        <v>0</v>
      </c>
      <c r="J18" s="37">
        <f t="shared" si="6"/>
        <v>0</v>
      </c>
      <c r="K18" s="33">
        <f t="shared" si="7"/>
        <v>145284.89733122478</v>
      </c>
      <c r="L18" s="39">
        <f t="shared" si="9"/>
        <v>145284.89733122478</v>
      </c>
    </row>
    <row r="19" spans="2:12" s="12" customFormat="1" x14ac:dyDescent="0.35">
      <c r="B19" s="35">
        <v>4</v>
      </c>
      <c r="C19" s="36">
        <f t="shared" si="8"/>
        <v>7054241.0968914181</v>
      </c>
      <c r="D19" s="37">
        <f t="shared" si="0"/>
        <v>91117.280834847479</v>
      </c>
      <c r="E19" s="33">
        <f t="shared" si="1"/>
        <v>0</v>
      </c>
      <c r="F19" s="33">
        <f t="shared" si="2"/>
        <v>49846.816496377323</v>
      </c>
      <c r="G19" s="37">
        <f t="shared" si="3"/>
        <v>0</v>
      </c>
      <c r="H19" s="38">
        <f t="shared" si="4"/>
        <v>4320.8</v>
      </c>
      <c r="I19" s="38">
        <f t="shared" si="5"/>
        <v>0</v>
      </c>
      <c r="J19" s="37">
        <f t="shared" si="6"/>
        <v>0</v>
      </c>
      <c r="K19" s="33">
        <f t="shared" si="7"/>
        <v>145284.89733122478</v>
      </c>
      <c r="L19" s="39">
        <f t="shared" si="9"/>
        <v>145284.89733122478</v>
      </c>
    </row>
    <row r="20" spans="2:12" s="12" customFormat="1" x14ac:dyDescent="0.35">
      <c r="B20" s="35">
        <v>5</v>
      </c>
      <c r="C20" s="36">
        <f t="shared" si="8"/>
        <v>7004394.2803950412</v>
      </c>
      <c r="D20" s="37">
        <f t="shared" si="0"/>
        <v>90473.426121769284</v>
      </c>
      <c r="E20" s="33">
        <f t="shared" si="1"/>
        <v>0</v>
      </c>
      <c r="F20" s="33">
        <f t="shared" si="2"/>
        <v>50490.671209455519</v>
      </c>
      <c r="G20" s="37">
        <f t="shared" si="3"/>
        <v>0</v>
      </c>
      <c r="H20" s="38">
        <f t="shared" si="4"/>
        <v>4320.8</v>
      </c>
      <c r="I20" s="38">
        <f t="shared" si="5"/>
        <v>0</v>
      </c>
      <c r="J20" s="37">
        <f t="shared" si="6"/>
        <v>0</v>
      </c>
      <c r="K20" s="33">
        <f t="shared" si="7"/>
        <v>145284.89733122478</v>
      </c>
      <c r="L20" s="39">
        <f t="shared" si="9"/>
        <v>145284.89733122478</v>
      </c>
    </row>
    <row r="21" spans="2:12" s="12" customFormat="1" x14ac:dyDescent="0.35">
      <c r="B21" s="35">
        <v>6</v>
      </c>
      <c r="C21" s="36">
        <f t="shared" si="8"/>
        <v>6953903.6091855858</v>
      </c>
      <c r="D21" s="37">
        <f t="shared" si="0"/>
        <v>89821.254951980489</v>
      </c>
      <c r="E21" s="33">
        <f t="shared" si="1"/>
        <v>0</v>
      </c>
      <c r="F21" s="33">
        <f t="shared" si="2"/>
        <v>51142.842379244328</v>
      </c>
      <c r="G21" s="37">
        <f t="shared" si="3"/>
        <v>0</v>
      </c>
      <c r="H21" s="38">
        <f t="shared" si="4"/>
        <v>4320.8</v>
      </c>
      <c r="I21" s="38">
        <f t="shared" si="5"/>
        <v>0</v>
      </c>
      <c r="J21" s="37">
        <f t="shared" si="6"/>
        <v>0</v>
      </c>
      <c r="K21" s="33">
        <f t="shared" si="7"/>
        <v>145284.89733122481</v>
      </c>
      <c r="L21" s="39">
        <f t="shared" si="9"/>
        <v>145284.89733122481</v>
      </c>
    </row>
    <row r="22" spans="2:12" s="12" customFormat="1" x14ac:dyDescent="0.35">
      <c r="B22" s="35">
        <v>7</v>
      </c>
      <c r="C22" s="36">
        <f t="shared" si="8"/>
        <v>6902760.7668063417</v>
      </c>
      <c r="D22" s="37">
        <f t="shared" si="0"/>
        <v>89160.659904581917</v>
      </c>
      <c r="E22" s="33">
        <f t="shared" si="1"/>
        <v>0</v>
      </c>
      <c r="F22" s="33">
        <f t="shared" si="2"/>
        <v>51803.437426642908</v>
      </c>
      <c r="G22" s="37">
        <f t="shared" si="3"/>
        <v>0</v>
      </c>
      <c r="H22" s="38">
        <f t="shared" si="4"/>
        <v>4320.8</v>
      </c>
      <c r="I22" s="38">
        <f t="shared" si="5"/>
        <v>0</v>
      </c>
      <c r="J22" s="37">
        <f t="shared" si="6"/>
        <v>0</v>
      </c>
      <c r="K22" s="33">
        <f t="shared" si="7"/>
        <v>145284.89733122481</v>
      </c>
      <c r="L22" s="39">
        <f t="shared" si="9"/>
        <v>145284.89733122481</v>
      </c>
    </row>
    <row r="23" spans="2:12" s="12" customFormat="1" x14ac:dyDescent="0.35">
      <c r="B23" s="35">
        <v>8</v>
      </c>
      <c r="C23" s="36">
        <f t="shared" si="8"/>
        <v>6850957.3293796992</v>
      </c>
      <c r="D23" s="37">
        <f t="shared" si="0"/>
        <v>88491.532171154453</v>
      </c>
      <c r="E23" s="33">
        <f t="shared" si="1"/>
        <v>0</v>
      </c>
      <c r="F23" s="33">
        <f t="shared" si="2"/>
        <v>52472.565160070371</v>
      </c>
      <c r="G23" s="37">
        <f t="shared" si="3"/>
        <v>0</v>
      </c>
      <c r="H23" s="38">
        <f t="shared" si="4"/>
        <v>4320.8</v>
      </c>
      <c r="I23" s="38">
        <f t="shared" si="5"/>
        <v>0</v>
      </c>
      <c r="J23" s="37">
        <f t="shared" si="6"/>
        <v>0</v>
      </c>
      <c r="K23" s="33">
        <f t="shared" si="7"/>
        <v>145284.89733122481</v>
      </c>
      <c r="L23" s="39">
        <f t="shared" si="9"/>
        <v>145284.89733122481</v>
      </c>
    </row>
    <row r="24" spans="2:12" s="12" customFormat="1" x14ac:dyDescent="0.35">
      <c r="B24" s="35">
        <v>9</v>
      </c>
      <c r="C24" s="36">
        <f t="shared" si="8"/>
        <v>6798484.7642196286</v>
      </c>
      <c r="D24" s="37">
        <f t="shared" si="0"/>
        <v>87813.761537836865</v>
      </c>
      <c r="E24" s="33">
        <f t="shared" si="1"/>
        <v>0</v>
      </c>
      <c r="F24" s="33">
        <f t="shared" si="2"/>
        <v>53150.335793387952</v>
      </c>
      <c r="G24" s="37">
        <f t="shared" si="3"/>
        <v>0</v>
      </c>
      <c r="H24" s="38">
        <f t="shared" si="4"/>
        <v>4320.8</v>
      </c>
      <c r="I24" s="38">
        <f t="shared" si="5"/>
        <v>0</v>
      </c>
      <c r="J24" s="37">
        <f t="shared" si="6"/>
        <v>0</v>
      </c>
      <c r="K24" s="33">
        <f t="shared" si="7"/>
        <v>145284.89733122481</v>
      </c>
      <c r="L24" s="39">
        <f t="shared" si="9"/>
        <v>145284.89733122481</v>
      </c>
    </row>
    <row r="25" spans="2:12" s="12" customFormat="1" x14ac:dyDescent="0.35">
      <c r="B25" s="35">
        <v>10</v>
      </c>
      <c r="C25" s="36">
        <f t="shared" si="8"/>
        <v>6745334.4284262406</v>
      </c>
      <c r="D25" s="37">
        <f t="shared" si="0"/>
        <v>87127.236367172271</v>
      </c>
      <c r="E25" s="33">
        <f t="shared" si="1"/>
        <v>0</v>
      </c>
      <c r="F25" s="33">
        <f t="shared" si="2"/>
        <v>53836.860964052539</v>
      </c>
      <c r="G25" s="37">
        <f t="shared" si="3"/>
        <v>0</v>
      </c>
      <c r="H25" s="38">
        <f t="shared" si="4"/>
        <v>4320.8</v>
      </c>
      <c r="I25" s="38">
        <f t="shared" si="5"/>
        <v>0</v>
      </c>
      <c r="J25" s="37">
        <f t="shared" si="6"/>
        <v>0</v>
      </c>
      <c r="K25" s="33">
        <f t="shared" si="7"/>
        <v>145284.89733122481</v>
      </c>
      <c r="L25" s="39">
        <f t="shared" si="9"/>
        <v>145284.89733122481</v>
      </c>
    </row>
    <row r="26" spans="2:12" s="12" customFormat="1" x14ac:dyDescent="0.35">
      <c r="B26" s="35">
        <v>11</v>
      </c>
      <c r="C26" s="36">
        <f t="shared" si="8"/>
        <v>6691497.5674621882</v>
      </c>
      <c r="D26" s="37">
        <f t="shared" si="0"/>
        <v>86431.843579719934</v>
      </c>
      <c r="E26" s="33">
        <f t="shared" si="1"/>
        <v>0</v>
      </c>
      <c r="F26" s="33">
        <f t="shared" si="2"/>
        <v>54532.25375150489</v>
      </c>
      <c r="G26" s="37">
        <f t="shared" si="3"/>
        <v>0</v>
      </c>
      <c r="H26" s="38">
        <f t="shared" si="4"/>
        <v>4320.8</v>
      </c>
      <c r="I26" s="38">
        <f t="shared" si="5"/>
        <v>0</v>
      </c>
      <c r="J26" s="37">
        <f t="shared" si="6"/>
        <v>0</v>
      </c>
      <c r="K26" s="33">
        <f t="shared" si="7"/>
        <v>145284.89733122481</v>
      </c>
      <c r="L26" s="39">
        <f t="shared" si="9"/>
        <v>145284.89733122481</v>
      </c>
    </row>
    <row r="27" spans="2:12" s="12" customFormat="1" x14ac:dyDescent="0.35">
      <c r="B27" s="35">
        <v>12</v>
      </c>
      <c r="C27" s="36">
        <f t="shared" si="8"/>
        <v>6636965.313710683</v>
      </c>
      <c r="D27" s="37">
        <f t="shared" si="0"/>
        <v>85727.468635429657</v>
      </c>
      <c r="E27" s="33">
        <f t="shared" si="1"/>
        <v>0</v>
      </c>
      <c r="F27" s="33">
        <f t="shared" si="2"/>
        <v>55236.628695795167</v>
      </c>
      <c r="G27" s="37">
        <f t="shared" si="3"/>
        <v>0</v>
      </c>
      <c r="H27" s="38">
        <f t="shared" si="4"/>
        <v>4320.8</v>
      </c>
      <c r="I27" s="38">
        <f t="shared" si="5"/>
        <v>0</v>
      </c>
      <c r="J27" s="37">
        <f t="shared" si="6"/>
        <v>0</v>
      </c>
      <c r="K27" s="33">
        <f t="shared" si="7"/>
        <v>145284.89733122481</v>
      </c>
      <c r="L27" s="39">
        <f t="shared" si="9"/>
        <v>145284.89733122481</v>
      </c>
    </row>
    <row r="28" spans="2:12" s="12" customFormat="1" x14ac:dyDescent="0.35">
      <c r="B28" s="35">
        <v>13</v>
      </c>
      <c r="C28" s="40">
        <f t="shared" ref="C28:C91" si="10">IF(C27-F27&lt;0.01,0,C27-F27)</f>
        <v>6581728.6850148877</v>
      </c>
      <c r="D28" s="41">
        <f t="shared" si="0"/>
        <v>85013.995514775641</v>
      </c>
      <c r="E28" s="33">
        <f t="shared" si="1"/>
        <v>0</v>
      </c>
      <c r="F28" s="33">
        <f t="shared" si="2"/>
        <v>55950.101816449176</v>
      </c>
      <c r="G28" s="41">
        <f t="shared" si="3"/>
        <v>0</v>
      </c>
      <c r="H28" s="39">
        <f t="shared" si="4"/>
        <v>4320.8</v>
      </c>
      <c r="I28" s="38">
        <f t="shared" si="5"/>
        <v>0</v>
      </c>
      <c r="J28" s="42">
        <f t="shared" si="6"/>
        <v>0</v>
      </c>
      <c r="K28" s="43">
        <f t="shared" si="7"/>
        <v>145284.89733122481</v>
      </c>
      <c r="L28" s="39">
        <f t="shared" si="9"/>
        <v>145284.89733122481</v>
      </c>
    </row>
    <row r="29" spans="2:12" s="12" customFormat="1" x14ac:dyDescent="0.35">
      <c r="B29" s="35">
        <v>14</v>
      </c>
      <c r="C29" s="40">
        <f t="shared" si="10"/>
        <v>6525778.5831984384</v>
      </c>
      <c r="D29" s="41">
        <f t="shared" si="0"/>
        <v>84291.306699646491</v>
      </c>
      <c r="E29" s="33">
        <f t="shared" si="1"/>
        <v>0</v>
      </c>
      <c r="F29" s="33">
        <f t="shared" si="2"/>
        <v>56672.790631578311</v>
      </c>
      <c r="G29" s="41">
        <f t="shared" si="3"/>
        <v>0</v>
      </c>
      <c r="H29" s="39">
        <f t="shared" si="4"/>
        <v>4320.8</v>
      </c>
      <c r="I29" s="38">
        <f t="shared" si="5"/>
        <v>0</v>
      </c>
      <c r="J29" s="42">
        <f t="shared" si="6"/>
        <v>0</v>
      </c>
      <c r="K29" s="43">
        <f t="shared" si="7"/>
        <v>145284.89733122478</v>
      </c>
      <c r="L29" s="39">
        <f t="shared" si="9"/>
        <v>145284.89733122478</v>
      </c>
    </row>
    <row r="30" spans="2:12" s="12" customFormat="1" x14ac:dyDescent="0.35">
      <c r="B30" s="35">
        <v>15</v>
      </c>
      <c r="C30" s="40">
        <f t="shared" si="10"/>
        <v>6469105.7925668601</v>
      </c>
      <c r="D30" s="41">
        <f t="shared" si="0"/>
        <v>83559.28315398861</v>
      </c>
      <c r="E30" s="33">
        <f t="shared" si="1"/>
        <v>0</v>
      </c>
      <c r="F30" s="33">
        <f t="shared" si="2"/>
        <v>57404.814177236214</v>
      </c>
      <c r="G30" s="41">
        <f t="shared" si="3"/>
        <v>0</v>
      </c>
      <c r="H30" s="39">
        <f t="shared" si="4"/>
        <v>4320.8</v>
      </c>
      <c r="I30" s="38">
        <f t="shared" si="5"/>
        <v>0</v>
      </c>
      <c r="J30" s="42">
        <f t="shared" si="6"/>
        <v>0</v>
      </c>
      <c r="K30" s="43">
        <f t="shared" si="7"/>
        <v>145284.89733122481</v>
      </c>
      <c r="L30" s="39">
        <f t="shared" si="9"/>
        <v>145284.89733122481</v>
      </c>
    </row>
    <row r="31" spans="2:12" s="12" customFormat="1" x14ac:dyDescent="0.35">
      <c r="B31" s="35">
        <v>16</v>
      </c>
      <c r="C31" s="40">
        <f t="shared" si="10"/>
        <v>6411700.9783896236</v>
      </c>
      <c r="D31" s="41">
        <f t="shared" si="0"/>
        <v>82817.804304199308</v>
      </c>
      <c r="E31" s="33">
        <f t="shared" si="1"/>
        <v>0</v>
      </c>
      <c r="F31" s="33">
        <f t="shared" si="2"/>
        <v>58146.293027025502</v>
      </c>
      <c r="G31" s="41">
        <f t="shared" si="3"/>
        <v>0</v>
      </c>
      <c r="H31" s="39">
        <f t="shared" si="4"/>
        <v>4320.8</v>
      </c>
      <c r="I31" s="38">
        <f t="shared" si="5"/>
        <v>0</v>
      </c>
      <c r="J31" s="42">
        <f t="shared" si="6"/>
        <v>0</v>
      </c>
      <c r="K31" s="43">
        <f t="shared" si="7"/>
        <v>145284.89733122481</v>
      </c>
      <c r="L31" s="39">
        <f t="shared" si="9"/>
        <v>145284.89733122481</v>
      </c>
    </row>
    <row r="32" spans="2:12" s="12" customFormat="1" x14ac:dyDescent="0.35">
      <c r="B32" s="35">
        <v>17</v>
      </c>
      <c r="C32" s="40">
        <f t="shared" si="10"/>
        <v>6353554.6853625979</v>
      </c>
      <c r="D32" s="41">
        <f t="shared" si="0"/>
        <v>82066.748019266888</v>
      </c>
      <c r="E32" s="33">
        <f t="shared" si="1"/>
        <v>0</v>
      </c>
      <c r="F32" s="33">
        <f t="shared" si="2"/>
        <v>58897.349311957922</v>
      </c>
      <c r="G32" s="41">
        <f t="shared" si="3"/>
        <v>0</v>
      </c>
      <c r="H32" s="39">
        <f t="shared" si="4"/>
        <v>4320.8</v>
      </c>
      <c r="I32" s="38">
        <f t="shared" si="5"/>
        <v>0</v>
      </c>
      <c r="J32" s="42">
        <f t="shared" si="6"/>
        <v>0</v>
      </c>
      <c r="K32" s="43">
        <f t="shared" si="7"/>
        <v>145284.89733122481</v>
      </c>
      <c r="L32" s="39">
        <f t="shared" si="9"/>
        <v>145284.89733122481</v>
      </c>
    </row>
    <row r="33" spans="2:12" s="12" customFormat="1" x14ac:dyDescent="0.35">
      <c r="B33" s="35">
        <v>18</v>
      </c>
      <c r="C33" s="40">
        <f t="shared" si="10"/>
        <v>6294657.3360506399</v>
      </c>
      <c r="D33" s="41">
        <f t="shared" si="0"/>
        <v>81305.990590654095</v>
      </c>
      <c r="E33" s="33">
        <f t="shared" si="1"/>
        <v>0</v>
      </c>
      <c r="F33" s="33">
        <f t="shared" si="2"/>
        <v>59658.106740570707</v>
      </c>
      <c r="G33" s="41">
        <f t="shared" si="3"/>
        <v>0</v>
      </c>
      <c r="H33" s="39">
        <f t="shared" si="4"/>
        <v>4320.8</v>
      </c>
      <c r="I33" s="38">
        <f t="shared" si="5"/>
        <v>0</v>
      </c>
      <c r="J33" s="42">
        <f t="shared" si="6"/>
        <v>0</v>
      </c>
      <c r="K33" s="43">
        <f t="shared" si="7"/>
        <v>145284.89733122478</v>
      </c>
      <c r="L33" s="39">
        <f t="shared" si="9"/>
        <v>145284.89733122478</v>
      </c>
    </row>
    <row r="34" spans="2:12" s="12" customFormat="1" x14ac:dyDescent="0.35">
      <c r="B34" s="35">
        <v>19</v>
      </c>
      <c r="C34" s="40">
        <f t="shared" si="10"/>
        <v>6234999.2293100692</v>
      </c>
      <c r="D34" s="41">
        <f t="shared" si="0"/>
        <v>80535.406711921722</v>
      </c>
      <c r="E34" s="33">
        <f t="shared" si="1"/>
        <v>0</v>
      </c>
      <c r="F34" s="33">
        <f t="shared" si="2"/>
        <v>60428.690619303081</v>
      </c>
      <c r="G34" s="41">
        <f t="shared" si="3"/>
        <v>0</v>
      </c>
      <c r="H34" s="39">
        <f t="shared" si="4"/>
        <v>4320.8</v>
      </c>
      <c r="I34" s="38">
        <f t="shared" si="5"/>
        <v>0</v>
      </c>
      <c r="J34" s="42">
        <f t="shared" si="6"/>
        <v>0</v>
      </c>
      <c r="K34" s="43">
        <f t="shared" si="7"/>
        <v>145284.89733122478</v>
      </c>
      <c r="L34" s="39">
        <f t="shared" si="9"/>
        <v>145284.89733122478</v>
      </c>
    </row>
    <row r="35" spans="2:12" s="12" customFormat="1" x14ac:dyDescent="0.35">
      <c r="B35" s="35">
        <v>20</v>
      </c>
      <c r="C35" s="40">
        <f t="shared" si="10"/>
        <v>6174570.5386907663</v>
      </c>
      <c r="D35" s="41">
        <f t="shared" si="0"/>
        <v>79754.869458089073</v>
      </c>
      <c r="E35" s="33">
        <f t="shared" si="1"/>
        <v>0</v>
      </c>
      <c r="F35" s="33">
        <f t="shared" si="2"/>
        <v>61209.227873135744</v>
      </c>
      <c r="G35" s="41">
        <f t="shared" si="3"/>
        <v>0</v>
      </c>
      <c r="H35" s="39">
        <f t="shared" si="4"/>
        <v>4320.8</v>
      </c>
      <c r="I35" s="38">
        <f t="shared" si="5"/>
        <v>0</v>
      </c>
      <c r="J35" s="42">
        <f t="shared" si="6"/>
        <v>0</v>
      </c>
      <c r="K35" s="43">
        <f t="shared" si="7"/>
        <v>145284.89733122481</v>
      </c>
      <c r="L35" s="39">
        <f t="shared" si="9"/>
        <v>145284.89733122481</v>
      </c>
    </row>
    <row r="36" spans="2:12" s="12" customFormat="1" x14ac:dyDescent="0.35">
      <c r="B36" s="35">
        <v>21</v>
      </c>
      <c r="C36" s="40">
        <f t="shared" si="10"/>
        <v>6113361.310817631</v>
      </c>
      <c r="D36" s="41">
        <f t="shared" si="0"/>
        <v>78964.250264727729</v>
      </c>
      <c r="E36" s="33">
        <f t="shared" si="1"/>
        <v>0</v>
      </c>
      <c r="F36" s="33">
        <f t="shared" si="2"/>
        <v>61999.847066497074</v>
      </c>
      <c r="G36" s="41">
        <f t="shared" si="3"/>
        <v>0</v>
      </c>
      <c r="H36" s="39">
        <f t="shared" si="4"/>
        <v>4320.8</v>
      </c>
      <c r="I36" s="38">
        <f t="shared" si="5"/>
        <v>0</v>
      </c>
      <c r="J36" s="42">
        <f t="shared" si="6"/>
        <v>0</v>
      </c>
      <c r="K36" s="43">
        <f t="shared" si="7"/>
        <v>145284.89733122478</v>
      </c>
      <c r="L36" s="39">
        <f t="shared" si="9"/>
        <v>145284.89733122478</v>
      </c>
    </row>
    <row r="37" spans="2:12" s="12" customFormat="1" x14ac:dyDescent="0.35">
      <c r="B37" s="35">
        <v>22</v>
      </c>
      <c r="C37" s="40">
        <f t="shared" si="10"/>
        <v>6051361.4637511335</v>
      </c>
      <c r="D37" s="41">
        <f t="shared" si="0"/>
        <v>78163.418906785475</v>
      </c>
      <c r="E37" s="33">
        <f t="shared" si="1"/>
        <v>0</v>
      </c>
      <c r="F37" s="33">
        <f t="shared" si="2"/>
        <v>62800.678424439335</v>
      </c>
      <c r="G37" s="41">
        <f t="shared" si="3"/>
        <v>0</v>
      </c>
      <c r="H37" s="39">
        <f t="shared" si="4"/>
        <v>4320.8</v>
      </c>
      <c r="I37" s="38">
        <f t="shared" si="5"/>
        <v>0</v>
      </c>
      <c r="J37" s="42">
        <f t="shared" si="6"/>
        <v>0</v>
      </c>
      <c r="K37" s="43">
        <f t="shared" si="7"/>
        <v>145284.89733122481</v>
      </c>
      <c r="L37" s="39">
        <f t="shared" si="9"/>
        <v>145284.89733122481</v>
      </c>
    </row>
    <row r="38" spans="2:12" s="12" customFormat="1" x14ac:dyDescent="0.35">
      <c r="B38" s="35">
        <v>23</v>
      </c>
      <c r="C38" s="40">
        <f t="shared" si="10"/>
        <v>5988560.7853266941</v>
      </c>
      <c r="D38" s="41">
        <f t="shared" si="0"/>
        <v>77352.243477136464</v>
      </c>
      <c r="E38" s="33">
        <f t="shared" si="1"/>
        <v>0</v>
      </c>
      <c r="F38" s="33">
        <f t="shared" si="2"/>
        <v>63611.853854088346</v>
      </c>
      <c r="G38" s="41">
        <f t="shared" si="3"/>
        <v>0</v>
      </c>
      <c r="H38" s="39">
        <f t="shared" si="4"/>
        <v>4320.8</v>
      </c>
      <c r="I38" s="38">
        <f t="shared" si="5"/>
        <v>0</v>
      </c>
      <c r="J38" s="42">
        <f t="shared" si="6"/>
        <v>0</v>
      </c>
      <c r="K38" s="43">
        <f t="shared" si="7"/>
        <v>145284.89733122481</v>
      </c>
      <c r="L38" s="39">
        <f t="shared" si="9"/>
        <v>145284.89733122481</v>
      </c>
    </row>
    <row r="39" spans="2:12" s="12" customFormat="1" x14ac:dyDescent="0.35">
      <c r="B39" s="35">
        <v>24</v>
      </c>
      <c r="C39" s="40">
        <f t="shared" si="10"/>
        <v>5924948.931472606</v>
      </c>
      <c r="D39" s="41">
        <f t="shared" si="0"/>
        <v>76530.590364854492</v>
      </c>
      <c r="E39" s="33">
        <f t="shared" si="1"/>
        <v>0</v>
      </c>
      <c r="F39" s="33">
        <f t="shared" si="2"/>
        <v>64433.506966370311</v>
      </c>
      <c r="G39" s="41">
        <f t="shared" si="3"/>
        <v>0</v>
      </c>
      <c r="H39" s="39">
        <f t="shared" si="4"/>
        <v>4320.8</v>
      </c>
      <c r="I39" s="38">
        <f t="shared" si="5"/>
        <v>0</v>
      </c>
      <c r="J39" s="42">
        <f t="shared" si="6"/>
        <v>0</v>
      </c>
      <c r="K39" s="43">
        <f t="shared" si="7"/>
        <v>145284.89733122478</v>
      </c>
      <c r="L39" s="39">
        <f t="shared" si="9"/>
        <v>145284.89733122478</v>
      </c>
    </row>
    <row r="40" spans="2:12" s="12" customFormat="1" x14ac:dyDescent="0.35">
      <c r="B40" s="35">
        <v>25</v>
      </c>
      <c r="C40" s="40">
        <f t="shared" si="10"/>
        <v>5860515.4245062359</v>
      </c>
      <c r="D40" s="41">
        <f t="shared" si="0"/>
        <v>75698.324233205538</v>
      </c>
      <c r="E40" s="33">
        <f t="shared" si="1"/>
        <v>0</v>
      </c>
      <c r="F40" s="33">
        <f t="shared" si="2"/>
        <v>65265.773098019265</v>
      </c>
      <c r="G40" s="41">
        <f t="shared" si="3"/>
        <v>0</v>
      </c>
      <c r="H40" s="39">
        <f t="shared" si="4"/>
        <v>4320.8</v>
      </c>
      <c r="I40" s="38">
        <f t="shared" si="5"/>
        <v>0</v>
      </c>
      <c r="J40" s="42">
        <f t="shared" si="6"/>
        <v>0</v>
      </c>
      <c r="K40" s="43">
        <f t="shared" si="7"/>
        <v>145284.89733122478</v>
      </c>
      <c r="L40" s="39">
        <f t="shared" si="9"/>
        <v>145284.89733122478</v>
      </c>
    </row>
    <row r="41" spans="2:12" s="12" customFormat="1" x14ac:dyDescent="0.35">
      <c r="B41" s="35">
        <v>26</v>
      </c>
      <c r="C41" s="40">
        <f t="shared" si="10"/>
        <v>5795249.6514082169</v>
      </c>
      <c r="D41" s="41">
        <f t="shared" si="0"/>
        <v>74855.307997356125</v>
      </c>
      <c r="E41" s="33">
        <f t="shared" si="1"/>
        <v>0</v>
      </c>
      <c r="F41" s="33">
        <f t="shared" si="2"/>
        <v>66108.789333868684</v>
      </c>
      <c r="G41" s="41">
        <f t="shared" si="3"/>
        <v>0</v>
      </c>
      <c r="H41" s="39">
        <f t="shared" si="4"/>
        <v>4320.8</v>
      </c>
      <c r="I41" s="38">
        <f t="shared" si="5"/>
        <v>0</v>
      </c>
      <c r="J41" s="42">
        <f t="shared" si="6"/>
        <v>0</v>
      </c>
      <c r="K41" s="43">
        <f t="shared" si="7"/>
        <v>145284.89733122481</v>
      </c>
      <c r="L41" s="39">
        <f t="shared" si="9"/>
        <v>145284.89733122481</v>
      </c>
    </row>
    <row r="42" spans="2:12" s="12" customFormat="1" x14ac:dyDescent="0.35">
      <c r="B42" s="35">
        <v>27</v>
      </c>
      <c r="C42" s="40">
        <f t="shared" si="10"/>
        <v>5729140.8620743481</v>
      </c>
      <c r="D42" s="41">
        <f t="shared" si="0"/>
        <v>74001.402801793665</v>
      </c>
      <c r="E42" s="33">
        <f t="shared" si="1"/>
        <v>0</v>
      </c>
      <c r="F42" s="33">
        <f t="shared" si="2"/>
        <v>66962.694529431159</v>
      </c>
      <c r="G42" s="41">
        <f t="shared" si="3"/>
        <v>0</v>
      </c>
      <c r="H42" s="39">
        <f t="shared" si="4"/>
        <v>4320.8</v>
      </c>
      <c r="I42" s="38">
        <f t="shared" si="5"/>
        <v>0</v>
      </c>
      <c r="J42" s="42">
        <f t="shared" si="6"/>
        <v>0</v>
      </c>
      <c r="K42" s="43">
        <f t="shared" si="7"/>
        <v>145284.89733122481</v>
      </c>
      <c r="L42" s="39">
        <f t="shared" si="9"/>
        <v>145284.89733122481</v>
      </c>
    </row>
    <row r="43" spans="2:12" s="12" customFormat="1" x14ac:dyDescent="0.35">
      <c r="B43" s="35">
        <v>28</v>
      </c>
      <c r="C43" s="40">
        <f t="shared" si="10"/>
        <v>5662178.1675449172</v>
      </c>
      <c r="D43" s="41">
        <f t="shared" si="0"/>
        <v>73136.467997455184</v>
      </c>
      <c r="E43" s="33">
        <f t="shared" si="1"/>
        <v>0</v>
      </c>
      <c r="F43" s="33">
        <f t="shared" si="2"/>
        <v>67827.629333769626</v>
      </c>
      <c r="G43" s="41">
        <f t="shared" si="3"/>
        <v>0</v>
      </c>
      <c r="H43" s="39">
        <f t="shared" si="4"/>
        <v>4320.8</v>
      </c>
      <c r="I43" s="38">
        <f t="shared" si="5"/>
        <v>0</v>
      </c>
      <c r="J43" s="42">
        <f t="shared" si="6"/>
        <v>0</v>
      </c>
      <c r="K43" s="43">
        <f t="shared" si="7"/>
        <v>145284.89733122481</v>
      </c>
      <c r="L43" s="39">
        <f t="shared" si="9"/>
        <v>145284.89733122481</v>
      </c>
    </row>
    <row r="44" spans="2:12" s="12" customFormat="1" x14ac:dyDescent="0.35">
      <c r="B44" s="35">
        <v>29</v>
      </c>
      <c r="C44" s="40">
        <f t="shared" si="10"/>
        <v>5594350.5382111473</v>
      </c>
      <c r="D44" s="41">
        <f t="shared" si="0"/>
        <v>72260.361118560657</v>
      </c>
      <c r="E44" s="33">
        <f t="shared" si="1"/>
        <v>0</v>
      </c>
      <c r="F44" s="33">
        <f t="shared" si="2"/>
        <v>68703.736212664167</v>
      </c>
      <c r="G44" s="41">
        <f t="shared" si="3"/>
        <v>0</v>
      </c>
      <c r="H44" s="39">
        <f t="shared" si="4"/>
        <v>4320.8</v>
      </c>
      <c r="I44" s="38">
        <f t="shared" si="5"/>
        <v>0</v>
      </c>
      <c r="J44" s="42">
        <f t="shared" si="6"/>
        <v>0</v>
      </c>
      <c r="K44" s="43">
        <f t="shared" si="7"/>
        <v>145284.89733122481</v>
      </c>
      <c r="L44" s="39">
        <f t="shared" si="9"/>
        <v>145284.89733122481</v>
      </c>
    </row>
    <row r="45" spans="2:12" s="12" customFormat="1" x14ac:dyDescent="0.35">
      <c r="B45" s="35">
        <v>30</v>
      </c>
      <c r="C45" s="40">
        <f t="shared" si="10"/>
        <v>5525646.801998483</v>
      </c>
      <c r="D45" s="41">
        <f t="shared" si="0"/>
        <v>71372.937859147074</v>
      </c>
      <c r="E45" s="33">
        <f t="shared" si="1"/>
        <v>0</v>
      </c>
      <c r="F45" s="33">
        <f t="shared" si="2"/>
        <v>69591.159472077736</v>
      </c>
      <c r="G45" s="41">
        <f t="shared" si="3"/>
        <v>0</v>
      </c>
      <c r="H45" s="39">
        <f t="shared" si="4"/>
        <v>4320.8</v>
      </c>
      <c r="I45" s="38">
        <f t="shared" si="5"/>
        <v>0</v>
      </c>
      <c r="J45" s="42">
        <f t="shared" si="6"/>
        <v>0</v>
      </c>
      <c r="K45" s="43">
        <f t="shared" si="7"/>
        <v>145284.89733122481</v>
      </c>
      <c r="L45" s="39">
        <f t="shared" si="9"/>
        <v>145284.89733122481</v>
      </c>
    </row>
    <row r="46" spans="2:12" s="12" customFormat="1" x14ac:dyDescent="0.35">
      <c r="B46" s="35">
        <v>31</v>
      </c>
      <c r="C46" s="40">
        <f t="shared" si="10"/>
        <v>5456055.6425264049</v>
      </c>
      <c r="D46" s="41">
        <f t="shared" si="0"/>
        <v>70474.052049299396</v>
      </c>
      <c r="E46" s="33">
        <f t="shared" si="1"/>
        <v>0</v>
      </c>
      <c r="F46" s="33">
        <f t="shared" si="2"/>
        <v>70490.045281925413</v>
      </c>
      <c r="G46" s="41">
        <f t="shared" si="3"/>
        <v>0</v>
      </c>
      <c r="H46" s="39">
        <f t="shared" si="4"/>
        <v>4320.8</v>
      </c>
      <c r="I46" s="38">
        <f t="shared" si="5"/>
        <v>0</v>
      </c>
      <c r="J46" s="42">
        <f t="shared" si="6"/>
        <v>0</v>
      </c>
      <c r="K46" s="43">
        <f t="shared" si="7"/>
        <v>145284.89733122481</v>
      </c>
      <c r="L46" s="39">
        <f t="shared" si="9"/>
        <v>145284.89733122481</v>
      </c>
    </row>
    <row r="47" spans="2:12" s="12" customFormat="1" x14ac:dyDescent="0.35">
      <c r="B47" s="35">
        <v>32</v>
      </c>
      <c r="C47" s="40">
        <f t="shared" si="10"/>
        <v>5385565.5972444797</v>
      </c>
      <c r="D47" s="41">
        <f t="shared" si="0"/>
        <v>69563.555631074531</v>
      </c>
      <c r="E47" s="33">
        <f t="shared" si="1"/>
        <v>0</v>
      </c>
      <c r="F47" s="33">
        <f t="shared" si="2"/>
        <v>71400.541700150279</v>
      </c>
      <c r="G47" s="41">
        <f t="shared" si="3"/>
        <v>0</v>
      </c>
      <c r="H47" s="39">
        <f t="shared" si="4"/>
        <v>4320.8</v>
      </c>
      <c r="I47" s="38">
        <f t="shared" si="5"/>
        <v>0</v>
      </c>
      <c r="J47" s="42">
        <f t="shared" si="6"/>
        <v>0</v>
      </c>
      <c r="K47" s="43">
        <f t="shared" si="7"/>
        <v>145284.89733122481</v>
      </c>
      <c r="L47" s="39">
        <f t="shared" si="9"/>
        <v>145284.89733122481</v>
      </c>
    </row>
    <row r="48" spans="2:12" s="12" customFormat="1" x14ac:dyDescent="0.35">
      <c r="B48" s="35">
        <v>33</v>
      </c>
      <c r="C48" s="40">
        <f t="shared" si="10"/>
        <v>5314165.0555443298</v>
      </c>
      <c r="D48" s="41">
        <f t="shared" ref="D48:D79" si="11">C48*$D$5/12</f>
        <v>68641.298634114253</v>
      </c>
      <c r="E48" s="33">
        <f t="shared" ref="E48:E79" si="12">D48*$D$12</f>
        <v>0</v>
      </c>
      <c r="F48" s="33">
        <f t="shared" ref="F48:F79" si="13">IFERROR(PPMT($D$5/12,B48,Plazo,-$C$16),0)</f>
        <v>72322.798697110542</v>
      </c>
      <c r="G48" s="41">
        <f t="shared" ref="G48:G79" si="14">C48*$D$11/1000</f>
        <v>0</v>
      </c>
      <c r="H48" s="39">
        <f t="shared" ref="H48:H79" si="15">IF(C48&lt;0.01,0,($D$2*$D$10/1000)*1.0802)</f>
        <v>4320.8</v>
      </c>
      <c r="I48" s="38">
        <f t="shared" ref="I48:I79" si="16">H48*$D$12</f>
        <v>0</v>
      </c>
      <c r="J48" s="42">
        <f t="shared" ref="J48:J79" si="17">IF(D48&lt;0.01,0,$D$9)</f>
        <v>0</v>
      </c>
      <c r="K48" s="43">
        <f t="shared" si="7"/>
        <v>145284.89733122478</v>
      </c>
      <c r="L48" s="39">
        <f t="shared" si="9"/>
        <v>145284.89733122478</v>
      </c>
    </row>
    <row r="49" spans="2:12" s="12" customFormat="1" x14ac:dyDescent="0.35">
      <c r="B49" s="35">
        <v>34</v>
      </c>
      <c r="C49" s="40">
        <f t="shared" si="10"/>
        <v>5241842.2568472195</v>
      </c>
      <c r="D49" s="41">
        <f t="shared" si="11"/>
        <v>67707.129150943249</v>
      </c>
      <c r="E49" s="33">
        <f t="shared" si="12"/>
        <v>0</v>
      </c>
      <c r="F49" s="33">
        <f t="shared" si="13"/>
        <v>73256.968180281561</v>
      </c>
      <c r="G49" s="41">
        <f t="shared" si="14"/>
        <v>0</v>
      </c>
      <c r="H49" s="39">
        <f t="shared" si="15"/>
        <v>4320.8</v>
      </c>
      <c r="I49" s="38">
        <f t="shared" si="16"/>
        <v>0</v>
      </c>
      <c r="J49" s="42">
        <f t="shared" si="17"/>
        <v>0</v>
      </c>
      <c r="K49" s="43">
        <f t="shared" si="7"/>
        <v>145284.89733122481</v>
      </c>
      <c r="L49" s="39">
        <f t="shared" si="9"/>
        <v>145284.89733122481</v>
      </c>
    </row>
    <row r="50" spans="2:12" s="12" customFormat="1" x14ac:dyDescent="0.35">
      <c r="B50" s="35">
        <v>35</v>
      </c>
      <c r="C50" s="40">
        <f t="shared" si="10"/>
        <v>5168585.2886669384</v>
      </c>
      <c r="D50" s="41">
        <f t="shared" si="11"/>
        <v>66760.893311947948</v>
      </c>
      <c r="E50" s="33">
        <f t="shared" si="12"/>
        <v>0</v>
      </c>
      <c r="F50" s="33">
        <f t="shared" si="13"/>
        <v>74203.204019276876</v>
      </c>
      <c r="G50" s="41">
        <f t="shared" si="14"/>
        <v>0</v>
      </c>
      <c r="H50" s="39">
        <f t="shared" si="15"/>
        <v>4320.8</v>
      </c>
      <c r="I50" s="38">
        <f t="shared" si="16"/>
        <v>0</v>
      </c>
      <c r="J50" s="42">
        <f t="shared" si="17"/>
        <v>0</v>
      </c>
      <c r="K50" s="43">
        <f t="shared" si="7"/>
        <v>145284.89733122481</v>
      </c>
      <c r="L50" s="39">
        <f t="shared" si="9"/>
        <v>145284.89733122481</v>
      </c>
    </row>
    <row r="51" spans="2:12" s="12" customFormat="1" x14ac:dyDescent="0.35">
      <c r="B51" s="35">
        <v>36</v>
      </c>
      <c r="C51" s="40">
        <f t="shared" si="10"/>
        <v>5094382.084647662</v>
      </c>
      <c r="D51" s="41">
        <f t="shared" si="11"/>
        <v>65802.435260032304</v>
      </c>
      <c r="E51" s="33">
        <f t="shared" si="12"/>
        <v>0</v>
      </c>
      <c r="F51" s="33">
        <f t="shared" si="13"/>
        <v>75161.662071192535</v>
      </c>
      <c r="G51" s="41">
        <f t="shared" si="14"/>
        <v>0</v>
      </c>
      <c r="H51" s="39">
        <f t="shared" si="15"/>
        <v>4320.8</v>
      </c>
      <c r="I51" s="38">
        <f t="shared" si="16"/>
        <v>0</v>
      </c>
      <c r="J51" s="42">
        <f t="shared" si="17"/>
        <v>0</v>
      </c>
      <c r="K51" s="43">
        <f t="shared" si="7"/>
        <v>145284.89733122481</v>
      </c>
      <c r="L51" s="39">
        <f t="shared" si="9"/>
        <v>145284.89733122481</v>
      </c>
    </row>
    <row r="52" spans="2:12" s="12" customFormat="1" x14ac:dyDescent="0.35">
      <c r="B52" s="35">
        <v>37</v>
      </c>
      <c r="C52" s="40">
        <f t="shared" si="10"/>
        <v>5019220.4225764694</v>
      </c>
      <c r="D52" s="41">
        <f t="shared" si="11"/>
        <v>64831.597124946064</v>
      </c>
      <c r="E52" s="33">
        <f t="shared" si="12"/>
        <v>0</v>
      </c>
      <c r="F52" s="33">
        <f t="shared" si="13"/>
        <v>76132.500206278768</v>
      </c>
      <c r="G52" s="41">
        <f t="shared" si="14"/>
        <v>0</v>
      </c>
      <c r="H52" s="39">
        <f t="shared" si="15"/>
        <v>4320.8</v>
      </c>
      <c r="I52" s="38">
        <f t="shared" si="16"/>
        <v>0</v>
      </c>
      <c r="J52" s="42">
        <f t="shared" si="17"/>
        <v>0</v>
      </c>
      <c r="K52" s="43">
        <f t="shared" si="7"/>
        <v>145284.89733122481</v>
      </c>
      <c r="L52" s="39">
        <f t="shared" si="9"/>
        <v>145284.89733122481</v>
      </c>
    </row>
    <row r="53" spans="2:12" s="12" customFormat="1" x14ac:dyDescent="0.35">
      <c r="B53" s="35">
        <v>38</v>
      </c>
      <c r="C53" s="40">
        <f t="shared" si="10"/>
        <v>4943087.9223701907</v>
      </c>
      <c r="D53" s="41">
        <f t="shared" si="11"/>
        <v>63848.218997281627</v>
      </c>
      <c r="E53" s="33">
        <f t="shared" si="12"/>
        <v>0</v>
      </c>
      <c r="F53" s="33">
        <f t="shared" si="13"/>
        <v>77115.878333943183</v>
      </c>
      <c r="G53" s="41">
        <f t="shared" si="14"/>
        <v>0</v>
      </c>
      <c r="H53" s="39">
        <f t="shared" si="15"/>
        <v>4320.8</v>
      </c>
      <c r="I53" s="38">
        <f t="shared" si="16"/>
        <v>0</v>
      </c>
      <c r="J53" s="42">
        <f t="shared" si="17"/>
        <v>0</v>
      </c>
      <c r="K53" s="43">
        <f t="shared" si="7"/>
        <v>145284.89733122481</v>
      </c>
      <c r="L53" s="39">
        <f t="shared" si="9"/>
        <v>145284.89733122481</v>
      </c>
    </row>
    <row r="54" spans="2:12" s="12" customFormat="1" x14ac:dyDescent="0.35">
      <c r="B54" s="35">
        <v>39</v>
      </c>
      <c r="C54" s="40">
        <f t="shared" si="10"/>
        <v>4865972.0440362478</v>
      </c>
      <c r="D54" s="41">
        <f t="shared" si="11"/>
        <v>62852.138902134866</v>
      </c>
      <c r="E54" s="33">
        <f t="shared" si="12"/>
        <v>0</v>
      </c>
      <c r="F54" s="33">
        <f t="shared" si="13"/>
        <v>78111.958429089966</v>
      </c>
      <c r="G54" s="41">
        <f t="shared" si="14"/>
        <v>0</v>
      </c>
      <c r="H54" s="39">
        <f t="shared" si="15"/>
        <v>4320.8</v>
      </c>
      <c r="I54" s="38">
        <f t="shared" si="16"/>
        <v>0</v>
      </c>
      <c r="J54" s="42">
        <f t="shared" si="17"/>
        <v>0</v>
      </c>
      <c r="K54" s="43">
        <f t="shared" si="7"/>
        <v>145284.89733122481</v>
      </c>
      <c r="L54" s="39">
        <f t="shared" si="9"/>
        <v>145284.89733122481</v>
      </c>
    </row>
    <row r="55" spans="2:12" s="12" customFormat="1" x14ac:dyDescent="0.35">
      <c r="B55" s="35">
        <v>40</v>
      </c>
      <c r="C55" s="40">
        <f t="shared" si="10"/>
        <v>4787860.085607158</v>
      </c>
      <c r="D55" s="41">
        <f t="shared" si="11"/>
        <v>61843.192772425791</v>
      </c>
      <c r="E55" s="33">
        <f t="shared" si="12"/>
        <v>0</v>
      </c>
      <c r="F55" s="33">
        <f t="shared" si="13"/>
        <v>79120.904558799055</v>
      </c>
      <c r="G55" s="41">
        <f t="shared" si="14"/>
        <v>0</v>
      </c>
      <c r="H55" s="39">
        <f t="shared" si="15"/>
        <v>4320.8</v>
      </c>
      <c r="I55" s="38">
        <f t="shared" si="16"/>
        <v>0</v>
      </c>
      <c r="J55" s="42">
        <f t="shared" si="17"/>
        <v>0</v>
      </c>
      <c r="K55" s="43">
        <f t="shared" si="7"/>
        <v>145284.89733122484</v>
      </c>
      <c r="L55" s="39">
        <f t="shared" si="9"/>
        <v>145284.89733122484</v>
      </c>
    </row>
    <row r="56" spans="2:12" s="12" customFormat="1" x14ac:dyDescent="0.35">
      <c r="B56" s="35">
        <v>41</v>
      </c>
      <c r="C56" s="40">
        <f t="shared" si="10"/>
        <v>4708739.1810483588</v>
      </c>
      <c r="D56" s="41">
        <f t="shared" si="11"/>
        <v>60821.214421874633</v>
      </c>
      <c r="E56" s="33">
        <f t="shared" si="12"/>
        <v>0</v>
      </c>
      <c r="F56" s="33">
        <f t="shared" si="13"/>
        <v>80142.882909350214</v>
      </c>
      <c r="G56" s="41">
        <f t="shared" si="14"/>
        <v>0</v>
      </c>
      <c r="H56" s="39">
        <f t="shared" si="15"/>
        <v>4320.8</v>
      </c>
      <c r="I56" s="38">
        <f t="shared" si="16"/>
        <v>0</v>
      </c>
      <c r="J56" s="42">
        <f t="shared" si="17"/>
        <v>0</v>
      </c>
      <c r="K56" s="43">
        <f t="shared" si="7"/>
        <v>145284.89733122484</v>
      </c>
      <c r="L56" s="39">
        <f t="shared" si="9"/>
        <v>145284.89733122484</v>
      </c>
    </row>
    <row r="57" spans="2:12" s="12" customFormat="1" x14ac:dyDescent="0.35">
      <c r="B57" s="35">
        <v>42</v>
      </c>
      <c r="C57" s="40">
        <f t="shared" si="10"/>
        <v>4628596.2981390087</v>
      </c>
      <c r="D57" s="41">
        <f t="shared" si="11"/>
        <v>59786.035517628858</v>
      </c>
      <c r="E57" s="33">
        <f t="shared" si="12"/>
        <v>0</v>
      </c>
      <c r="F57" s="33">
        <f t="shared" si="13"/>
        <v>81178.061813595967</v>
      </c>
      <c r="G57" s="41">
        <f t="shared" si="14"/>
        <v>0</v>
      </c>
      <c r="H57" s="39">
        <f t="shared" si="15"/>
        <v>4320.8</v>
      </c>
      <c r="I57" s="38">
        <f t="shared" si="16"/>
        <v>0</v>
      </c>
      <c r="J57" s="42">
        <f t="shared" si="17"/>
        <v>0</v>
      </c>
      <c r="K57" s="43">
        <f t="shared" si="7"/>
        <v>145284.89733122481</v>
      </c>
      <c r="L57" s="39">
        <f t="shared" si="9"/>
        <v>145284.89733122481</v>
      </c>
    </row>
    <row r="58" spans="2:12" s="12" customFormat="1" x14ac:dyDescent="0.35">
      <c r="B58" s="35">
        <v>43</v>
      </c>
      <c r="C58" s="40">
        <f t="shared" si="10"/>
        <v>4547418.236325413</v>
      </c>
      <c r="D58" s="41">
        <f t="shared" si="11"/>
        <v>58737.485552536586</v>
      </c>
      <c r="E58" s="33">
        <f t="shared" si="12"/>
        <v>0</v>
      </c>
      <c r="F58" s="33">
        <f t="shared" si="13"/>
        <v>82226.611778688253</v>
      </c>
      <c r="G58" s="41">
        <f t="shared" si="14"/>
        <v>0</v>
      </c>
      <c r="H58" s="39">
        <f t="shared" si="15"/>
        <v>4320.8</v>
      </c>
      <c r="I58" s="38">
        <f t="shared" si="16"/>
        <v>0</v>
      </c>
      <c r="J58" s="42">
        <f t="shared" si="17"/>
        <v>0</v>
      </c>
      <c r="K58" s="43">
        <f t="shared" si="7"/>
        <v>145284.89733122481</v>
      </c>
      <c r="L58" s="39">
        <f t="shared" si="9"/>
        <v>145284.89733122481</v>
      </c>
    </row>
    <row r="59" spans="2:12" s="12" customFormat="1" x14ac:dyDescent="0.35">
      <c r="B59" s="35">
        <v>44</v>
      </c>
      <c r="C59" s="40">
        <f t="shared" si="10"/>
        <v>4465191.6245467244</v>
      </c>
      <c r="D59" s="41">
        <f t="shared" si="11"/>
        <v>57675.391817061849</v>
      </c>
      <c r="E59" s="33">
        <f t="shared" si="12"/>
        <v>0</v>
      </c>
      <c r="F59" s="33">
        <f t="shared" si="13"/>
        <v>83288.705514162983</v>
      </c>
      <c r="G59" s="41">
        <f t="shared" si="14"/>
        <v>0</v>
      </c>
      <c r="H59" s="39">
        <f t="shared" si="15"/>
        <v>4320.8</v>
      </c>
      <c r="I59" s="38">
        <f t="shared" si="16"/>
        <v>0</v>
      </c>
      <c r="J59" s="42">
        <f t="shared" si="17"/>
        <v>0</v>
      </c>
      <c r="K59" s="43">
        <f t="shared" si="7"/>
        <v>145284.89733122481</v>
      </c>
      <c r="L59" s="39">
        <f t="shared" si="9"/>
        <v>145284.89733122481</v>
      </c>
    </row>
    <row r="60" spans="2:12" s="12" customFormat="1" x14ac:dyDescent="0.35">
      <c r="B60" s="35">
        <v>45</v>
      </c>
      <c r="C60" s="40">
        <f t="shared" si="10"/>
        <v>4381902.9190325616</v>
      </c>
      <c r="D60" s="41">
        <f t="shared" si="11"/>
        <v>56599.579370837251</v>
      </c>
      <c r="E60" s="33">
        <f t="shared" si="12"/>
        <v>0</v>
      </c>
      <c r="F60" s="33">
        <f t="shared" si="13"/>
        <v>84364.517960387573</v>
      </c>
      <c r="G60" s="41">
        <f t="shared" si="14"/>
        <v>0</v>
      </c>
      <c r="H60" s="39">
        <f t="shared" si="15"/>
        <v>4320.8</v>
      </c>
      <c r="I60" s="38">
        <f t="shared" si="16"/>
        <v>0</v>
      </c>
      <c r="J60" s="42">
        <f t="shared" si="17"/>
        <v>0</v>
      </c>
      <c r="K60" s="43">
        <f t="shared" si="7"/>
        <v>145284.89733122481</v>
      </c>
      <c r="L60" s="39">
        <f t="shared" si="9"/>
        <v>145284.89733122481</v>
      </c>
    </row>
    <row r="61" spans="2:12" s="12" customFormat="1" x14ac:dyDescent="0.35">
      <c r="B61" s="35">
        <v>46</v>
      </c>
      <c r="C61" s="40">
        <f t="shared" si="10"/>
        <v>4297538.4010721743</v>
      </c>
      <c r="D61" s="41">
        <f t="shared" si="11"/>
        <v>55509.871013848919</v>
      </c>
      <c r="E61" s="33">
        <f t="shared" si="12"/>
        <v>0</v>
      </c>
      <c r="F61" s="33">
        <f t="shared" si="13"/>
        <v>85454.226317375927</v>
      </c>
      <c r="G61" s="41">
        <f t="shared" si="14"/>
        <v>0</v>
      </c>
      <c r="H61" s="39">
        <f t="shared" si="15"/>
        <v>4320.8</v>
      </c>
      <c r="I61" s="38">
        <f t="shared" si="16"/>
        <v>0</v>
      </c>
      <c r="J61" s="42">
        <f t="shared" si="17"/>
        <v>0</v>
      </c>
      <c r="K61" s="43">
        <f t="shared" si="7"/>
        <v>145284.89733122484</v>
      </c>
      <c r="L61" s="39">
        <f t="shared" si="9"/>
        <v>145284.89733122484</v>
      </c>
    </row>
    <row r="62" spans="2:12" s="12" customFormat="1" x14ac:dyDescent="0.35">
      <c r="B62" s="35">
        <v>47</v>
      </c>
      <c r="C62" s="40">
        <f t="shared" si="10"/>
        <v>4212084.1747547984</v>
      </c>
      <c r="D62" s="41">
        <f t="shared" si="11"/>
        <v>54406.087257249477</v>
      </c>
      <c r="E62" s="33">
        <f t="shared" si="12"/>
        <v>0</v>
      </c>
      <c r="F62" s="33">
        <f t="shared" si="13"/>
        <v>86558.010073975369</v>
      </c>
      <c r="G62" s="41">
        <f t="shared" si="14"/>
        <v>0</v>
      </c>
      <c r="H62" s="39">
        <f t="shared" si="15"/>
        <v>4320.8</v>
      </c>
      <c r="I62" s="38">
        <f t="shared" si="16"/>
        <v>0</v>
      </c>
      <c r="J62" s="42">
        <f t="shared" si="17"/>
        <v>0</v>
      </c>
      <c r="K62" s="43">
        <f t="shared" si="7"/>
        <v>145284.89733122484</v>
      </c>
      <c r="L62" s="39">
        <f t="shared" si="9"/>
        <v>145284.89733122484</v>
      </c>
    </row>
    <row r="63" spans="2:12" s="12" customFormat="1" x14ac:dyDescent="0.35">
      <c r="B63" s="35">
        <v>48</v>
      </c>
      <c r="C63" s="40">
        <f t="shared" si="10"/>
        <v>4125526.1646808232</v>
      </c>
      <c r="D63" s="41">
        <f t="shared" si="11"/>
        <v>53288.046293793966</v>
      </c>
      <c r="E63" s="33">
        <f t="shared" si="12"/>
        <v>0</v>
      </c>
      <c r="F63" s="33">
        <f t="shared" si="13"/>
        <v>87676.051037430865</v>
      </c>
      <c r="G63" s="41">
        <f t="shared" si="14"/>
        <v>0</v>
      </c>
      <c r="H63" s="39">
        <f t="shared" si="15"/>
        <v>4320.8</v>
      </c>
      <c r="I63" s="38">
        <f t="shared" si="16"/>
        <v>0</v>
      </c>
      <c r="J63" s="42">
        <f t="shared" si="17"/>
        <v>0</v>
      </c>
      <c r="K63" s="43">
        <f t="shared" si="7"/>
        <v>145284.89733122481</v>
      </c>
      <c r="L63" s="39">
        <f t="shared" si="9"/>
        <v>145284.89733122481</v>
      </c>
    </row>
    <row r="64" spans="2:12" s="12" customFormat="1" x14ac:dyDescent="0.35">
      <c r="B64" s="35">
        <v>49</v>
      </c>
      <c r="C64" s="40">
        <f t="shared" si="10"/>
        <v>4037850.1136433925</v>
      </c>
      <c r="D64" s="41">
        <f t="shared" si="11"/>
        <v>52155.563967893824</v>
      </c>
      <c r="E64" s="33">
        <f t="shared" si="12"/>
        <v>0</v>
      </c>
      <c r="F64" s="33">
        <f t="shared" si="13"/>
        <v>88808.533363331022</v>
      </c>
      <c r="G64" s="41">
        <f t="shared" si="14"/>
        <v>0</v>
      </c>
      <c r="H64" s="39">
        <f t="shared" si="15"/>
        <v>4320.8</v>
      </c>
      <c r="I64" s="38">
        <f t="shared" si="16"/>
        <v>0</v>
      </c>
      <c r="J64" s="42">
        <f t="shared" si="17"/>
        <v>0</v>
      </c>
      <c r="K64" s="43">
        <f t="shared" si="7"/>
        <v>145284.89733122484</v>
      </c>
      <c r="L64" s="39">
        <f t="shared" si="9"/>
        <v>145284.89733122484</v>
      </c>
    </row>
    <row r="65" spans="2:12" s="12" customFormat="1" x14ac:dyDescent="0.35">
      <c r="B65" s="35">
        <v>50</v>
      </c>
      <c r="C65" s="40">
        <f t="shared" si="10"/>
        <v>3949041.5802800613</v>
      </c>
      <c r="D65" s="41">
        <f t="shared" si="11"/>
        <v>51008.453745284125</v>
      </c>
      <c r="E65" s="33">
        <f t="shared" si="12"/>
        <v>0</v>
      </c>
      <c r="F65" s="33">
        <f t="shared" si="13"/>
        <v>89955.643585940721</v>
      </c>
      <c r="G65" s="41">
        <f t="shared" si="14"/>
        <v>0</v>
      </c>
      <c r="H65" s="39">
        <f t="shared" si="15"/>
        <v>4320.8</v>
      </c>
      <c r="I65" s="38">
        <f t="shared" si="16"/>
        <v>0</v>
      </c>
      <c r="J65" s="42">
        <f t="shared" si="17"/>
        <v>0</v>
      </c>
      <c r="K65" s="43">
        <f t="shared" si="7"/>
        <v>145284.89733122484</v>
      </c>
      <c r="L65" s="39">
        <f t="shared" si="9"/>
        <v>145284.89733122484</v>
      </c>
    </row>
    <row r="66" spans="2:12" s="12" customFormat="1" x14ac:dyDescent="0.35">
      <c r="B66" s="35">
        <v>51</v>
      </c>
      <c r="C66" s="40">
        <f t="shared" si="10"/>
        <v>3859085.9366941205</v>
      </c>
      <c r="D66" s="41">
        <f t="shared" si="11"/>
        <v>49846.52668229906</v>
      </c>
      <c r="E66" s="33">
        <f t="shared" si="12"/>
        <v>0</v>
      </c>
      <c r="F66" s="33">
        <f t="shared" si="13"/>
        <v>91117.570648925786</v>
      </c>
      <c r="G66" s="41">
        <f t="shared" si="14"/>
        <v>0</v>
      </c>
      <c r="H66" s="39">
        <f t="shared" si="15"/>
        <v>4320.8</v>
      </c>
      <c r="I66" s="38">
        <f t="shared" si="16"/>
        <v>0</v>
      </c>
      <c r="J66" s="42">
        <f t="shared" si="17"/>
        <v>0</v>
      </c>
      <c r="K66" s="43">
        <f t="shared" si="7"/>
        <v>145284.89733122484</v>
      </c>
      <c r="L66" s="39">
        <f t="shared" si="9"/>
        <v>145284.89733122484</v>
      </c>
    </row>
    <row r="67" spans="2:12" s="12" customFormat="1" x14ac:dyDescent="0.35">
      <c r="B67" s="35">
        <v>52</v>
      </c>
      <c r="C67" s="40">
        <f t="shared" si="10"/>
        <v>3767968.3660451947</v>
      </c>
      <c r="D67" s="41">
        <f t="shared" si="11"/>
        <v>48669.59139475043</v>
      </c>
      <c r="E67" s="33">
        <f t="shared" si="12"/>
        <v>0</v>
      </c>
      <c r="F67" s="33">
        <f t="shared" si="13"/>
        <v>92294.505936474408</v>
      </c>
      <c r="G67" s="41">
        <f t="shared" si="14"/>
        <v>0</v>
      </c>
      <c r="H67" s="39">
        <f t="shared" si="15"/>
        <v>4320.8</v>
      </c>
      <c r="I67" s="38">
        <f t="shared" si="16"/>
        <v>0</v>
      </c>
      <c r="J67" s="42">
        <f t="shared" si="17"/>
        <v>0</v>
      </c>
      <c r="K67" s="43">
        <f t="shared" si="7"/>
        <v>145284.89733122481</v>
      </c>
      <c r="L67" s="39">
        <f t="shared" si="9"/>
        <v>145284.89733122481</v>
      </c>
    </row>
    <row r="68" spans="2:12" s="12" customFormat="1" x14ac:dyDescent="0.35">
      <c r="B68" s="35">
        <v>53</v>
      </c>
      <c r="C68" s="40">
        <f t="shared" si="10"/>
        <v>3675673.8601087201</v>
      </c>
      <c r="D68" s="41">
        <f t="shared" si="11"/>
        <v>47477.454026404303</v>
      </c>
      <c r="E68" s="33">
        <f t="shared" si="12"/>
        <v>0</v>
      </c>
      <c r="F68" s="33">
        <f t="shared" si="13"/>
        <v>93486.643304820536</v>
      </c>
      <c r="G68" s="41">
        <f t="shared" si="14"/>
        <v>0</v>
      </c>
      <c r="H68" s="39">
        <f t="shared" si="15"/>
        <v>4320.8</v>
      </c>
      <c r="I68" s="38">
        <f t="shared" si="16"/>
        <v>0</v>
      </c>
      <c r="J68" s="42">
        <f t="shared" si="17"/>
        <v>0</v>
      </c>
      <c r="K68" s="43">
        <f t="shared" si="7"/>
        <v>145284.89733122481</v>
      </c>
      <c r="L68" s="39">
        <f t="shared" si="9"/>
        <v>145284.89733122481</v>
      </c>
    </row>
    <row r="69" spans="2:12" s="12" customFormat="1" x14ac:dyDescent="0.35">
      <c r="B69" s="35">
        <v>54</v>
      </c>
      <c r="C69" s="40">
        <f t="shared" si="10"/>
        <v>3582187.2168038995</v>
      </c>
      <c r="D69" s="41">
        <f t="shared" si="11"/>
        <v>46269.91821705037</v>
      </c>
      <c r="E69" s="33">
        <f t="shared" si="12"/>
        <v>0</v>
      </c>
      <c r="F69" s="33">
        <f t="shared" si="13"/>
        <v>94694.179114174476</v>
      </c>
      <c r="G69" s="41">
        <f t="shared" si="14"/>
        <v>0</v>
      </c>
      <c r="H69" s="39">
        <f t="shared" si="15"/>
        <v>4320.8</v>
      </c>
      <c r="I69" s="38">
        <f t="shared" si="16"/>
        <v>0</v>
      </c>
      <c r="J69" s="42">
        <f t="shared" si="17"/>
        <v>0</v>
      </c>
      <c r="K69" s="43">
        <f t="shared" si="7"/>
        <v>145284.89733122484</v>
      </c>
      <c r="L69" s="39">
        <f t="shared" si="9"/>
        <v>145284.89733122484</v>
      </c>
    </row>
    <row r="70" spans="2:12" s="12" customFormat="1" x14ac:dyDescent="0.35">
      <c r="B70" s="35">
        <v>55</v>
      </c>
      <c r="C70" s="40">
        <f t="shared" si="10"/>
        <v>3487493.0376897249</v>
      </c>
      <c r="D70" s="41">
        <f t="shared" si="11"/>
        <v>45046.785070158949</v>
      </c>
      <c r="E70" s="33">
        <f t="shared" si="12"/>
        <v>0</v>
      </c>
      <c r="F70" s="33">
        <f t="shared" si="13"/>
        <v>95917.31226106589</v>
      </c>
      <c r="G70" s="41">
        <f t="shared" si="14"/>
        <v>0</v>
      </c>
      <c r="H70" s="39">
        <f t="shared" si="15"/>
        <v>4320.8</v>
      </c>
      <c r="I70" s="38">
        <f t="shared" si="16"/>
        <v>0</v>
      </c>
      <c r="J70" s="42">
        <f t="shared" si="17"/>
        <v>0</v>
      </c>
      <c r="K70" s="43">
        <f t="shared" si="7"/>
        <v>145284.89733122481</v>
      </c>
      <c r="L70" s="39">
        <f t="shared" si="9"/>
        <v>145284.89733122481</v>
      </c>
    </row>
    <row r="71" spans="2:12" s="12" customFormat="1" x14ac:dyDescent="0.35">
      <c r="B71" s="35">
        <v>56</v>
      </c>
      <c r="C71" s="40">
        <f t="shared" si="10"/>
        <v>3391575.725428659</v>
      </c>
      <c r="D71" s="41">
        <f t="shared" si="11"/>
        <v>43807.853120120177</v>
      </c>
      <c r="E71" s="33">
        <f t="shared" si="12"/>
        <v>0</v>
      </c>
      <c r="F71" s="33">
        <f t="shared" si="13"/>
        <v>97156.244211104669</v>
      </c>
      <c r="G71" s="41">
        <f t="shared" si="14"/>
        <v>0</v>
      </c>
      <c r="H71" s="39">
        <f t="shared" si="15"/>
        <v>4320.8</v>
      </c>
      <c r="I71" s="38">
        <f t="shared" si="16"/>
        <v>0</v>
      </c>
      <c r="J71" s="42">
        <f t="shared" si="17"/>
        <v>0</v>
      </c>
      <c r="K71" s="43">
        <f t="shared" si="7"/>
        <v>145284.89733122484</v>
      </c>
      <c r="L71" s="39">
        <f t="shared" si="9"/>
        <v>145284.89733122484</v>
      </c>
    </row>
    <row r="72" spans="2:12" s="12" customFormat="1" x14ac:dyDescent="0.35">
      <c r="B72" s="35">
        <v>57</v>
      </c>
      <c r="C72" s="40">
        <f t="shared" si="10"/>
        <v>3294419.4812175543</v>
      </c>
      <c r="D72" s="41">
        <f t="shared" si="11"/>
        <v>42552.918299060075</v>
      </c>
      <c r="E72" s="33">
        <f t="shared" si="12"/>
        <v>0</v>
      </c>
      <c r="F72" s="33">
        <f t="shared" si="13"/>
        <v>98411.179032164757</v>
      </c>
      <c r="G72" s="41">
        <f t="shared" si="14"/>
        <v>0</v>
      </c>
      <c r="H72" s="39">
        <f t="shared" si="15"/>
        <v>4320.8</v>
      </c>
      <c r="I72" s="38">
        <f t="shared" si="16"/>
        <v>0</v>
      </c>
      <c r="J72" s="42">
        <f t="shared" si="17"/>
        <v>0</v>
      </c>
      <c r="K72" s="43">
        <f t="shared" si="7"/>
        <v>145284.89733122481</v>
      </c>
      <c r="L72" s="39">
        <f t="shared" si="9"/>
        <v>145284.89733122481</v>
      </c>
    </row>
    <row r="73" spans="2:12" s="12" customFormat="1" x14ac:dyDescent="0.35">
      <c r="B73" s="35">
        <v>58</v>
      </c>
      <c r="C73" s="40">
        <f t="shared" si="10"/>
        <v>3196008.3021853897</v>
      </c>
      <c r="D73" s="41">
        <f t="shared" si="11"/>
        <v>41281.77390322795</v>
      </c>
      <c r="E73" s="33">
        <f t="shared" si="12"/>
        <v>0</v>
      </c>
      <c r="F73" s="33">
        <f t="shared" si="13"/>
        <v>99682.323427996889</v>
      </c>
      <c r="G73" s="41">
        <f t="shared" si="14"/>
        <v>0</v>
      </c>
      <c r="H73" s="39">
        <f t="shared" si="15"/>
        <v>4320.8</v>
      </c>
      <c r="I73" s="38">
        <f t="shared" si="16"/>
        <v>0</v>
      </c>
      <c r="J73" s="42">
        <f t="shared" si="17"/>
        <v>0</v>
      </c>
      <c r="K73" s="43">
        <f t="shared" si="7"/>
        <v>145284.89733122481</v>
      </c>
      <c r="L73" s="39">
        <f t="shared" si="9"/>
        <v>145284.89733122481</v>
      </c>
    </row>
    <row r="74" spans="2:12" s="12" customFormat="1" x14ac:dyDescent="0.35">
      <c r="B74" s="35">
        <v>59</v>
      </c>
      <c r="C74" s="40">
        <f t="shared" si="10"/>
        <v>3096325.9787573926</v>
      </c>
      <c r="D74" s="41">
        <f t="shared" si="11"/>
        <v>39994.210558949657</v>
      </c>
      <c r="E74" s="33">
        <f t="shared" si="12"/>
        <v>0</v>
      </c>
      <c r="F74" s="33">
        <f t="shared" si="13"/>
        <v>100969.88677227519</v>
      </c>
      <c r="G74" s="41">
        <f t="shared" si="14"/>
        <v>0</v>
      </c>
      <c r="H74" s="39">
        <f t="shared" si="15"/>
        <v>4320.8</v>
      </c>
      <c r="I74" s="38">
        <f t="shared" si="16"/>
        <v>0</v>
      </c>
      <c r="J74" s="42">
        <f t="shared" si="17"/>
        <v>0</v>
      </c>
      <c r="K74" s="43">
        <f t="shared" si="7"/>
        <v>145284.89733122484</v>
      </c>
      <c r="L74" s="39">
        <f t="shared" si="9"/>
        <v>145284.89733122484</v>
      </c>
    </row>
    <row r="75" spans="2:12" s="12" customFormat="1" x14ac:dyDescent="0.35">
      <c r="B75" s="35">
        <v>60</v>
      </c>
      <c r="C75" s="40">
        <f t="shared" si="10"/>
        <v>2995356.0919851176</v>
      </c>
      <c r="D75" s="41">
        <f t="shared" si="11"/>
        <v>38690.016188141104</v>
      </c>
      <c r="E75" s="33">
        <f t="shared" si="12"/>
        <v>0</v>
      </c>
      <c r="F75" s="33">
        <f t="shared" si="13"/>
        <v>102274.08114308375</v>
      </c>
      <c r="G75" s="41">
        <f t="shared" si="14"/>
        <v>0</v>
      </c>
      <c r="H75" s="39">
        <f t="shared" si="15"/>
        <v>4320.8</v>
      </c>
      <c r="I75" s="38">
        <f t="shared" si="16"/>
        <v>0</v>
      </c>
      <c r="J75" s="42">
        <f t="shared" si="17"/>
        <v>0</v>
      </c>
      <c r="K75" s="43">
        <f t="shared" si="7"/>
        <v>145284.89733122484</v>
      </c>
      <c r="L75" s="39">
        <f t="shared" si="9"/>
        <v>145284.89733122484</v>
      </c>
    </row>
    <row r="76" spans="2:12" s="12" customFormat="1" x14ac:dyDescent="0.35">
      <c r="B76" s="35">
        <v>61</v>
      </c>
      <c r="C76" s="40">
        <f t="shared" si="10"/>
        <v>2893082.0108420337</v>
      </c>
      <c r="D76" s="41">
        <f t="shared" si="11"/>
        <v>37368.975973376269</v>
      </c>
      <c r="E76" s="33">
        <f t="shared" si="12"/>
        <v>0</v>
      </c>
      <c r="F76" s="33">
        <f t="shared" si="13"/>
        <v>103595.12135784856</v>
      </c>
      <c r="G76" s="41">
        <f t="shared" si="14"/>
        <v>0</v>
      </c>
      <c r="H76" s="39">
        <f t="shared" si="15"/>
        <v>4320.8</v>
      </c>
      <c r="I76" s="38">
        <f t="shared" si="16"/>
        <v>0</v>
      </c>
      <c r="J76" s="42">
        <f t="shared" si="17"/>
        <v>0</v>
      </c>
      <c r="K76" s="43">
        <f t="shared" si="7"/>
        <v>145284.89733122481</v>
      </c>
      <c r="L76" s="39">
        <f t="shared" si="9"/>
        <v>145284.89733122481</v>
      </c>
    </row>
    <row r="77" spans="2:12" s="12" customFormat="1" x14ac:dyDescent="0.35">
      <c r="B77" s="35">
        <v>62</v>
      </c>
      <c r="C77" s="40">
        <f t="shared" si="10"/>
        <v>2789486.8894841853</v>
      </c>
      <c r="D77" s="41">
        <f t="shared" si="11"/>
        <v>36030.872322504059</v>
      </c>
      <c r="E77" s="33">
        <f t="shared" si="12"/>
        <v>0</v>
      </c>
      <c r="F77" s="33">
        <f t="shared" si="13"/>
        <v>104933.22500872078</v>
      </c>
      <c r="G77" s="41">
        <f t="shared" si="14"/>
        <v>0</v>
      </c>
      <c r="H77" s="39">
        <f t="shared" si="15"/>
        <v>4320.8</v>
      </c>
      <c r="I77" s="38">
        <f t="shared" si="16"/>
        <v>0</v>
      </c>
      <c r="J77" s="42">
        <f t="shared" si="17"/>
        <v>0</v>
      </c>
      <c r="K77" s="43">
        <f t="shared" si="7"/>
        <v>145284.89733122481</v>
      </c>
      <c r="L77" s="39">
        <f t="shared" si="9"/>
        <v>145284.89733122481</v>
      </c>
    </row>
    <row r="78" spans="2:12" s="12" customFormat="1" x14ac:dyDescent="0.35">
      <c r="B78" s="35">
        <v>63</v>
      </c>
      <c r="C78" s="40">
        <f t="shared" si="10"/>
        <v>2684553.6644754643</v>
      </c>
      <c r="D78" s="41">
        <f t="shared" si="11"/>
        <v>34675.484832808077</v>
      </c>
      <c r="E78" s="33">
        <f t="shared" si="12"/>
        <v>0</v>
      </c>
      <c r="F78" s="33">
        <f t="shared" si="13"/>
        <v>106288.61249841677</v>
      </c>
      <c r="G78" s="41">
        <f t="shared" si="14"/>
        <v>0</v>
      </c>
      <c r="H78" s="39">
        <f t="shared" si="15"/>
        <v>4320.8</v>
      </c>
      <c r="I78" s="38">
        <f t="shared" si="16"/>
        <v>0</v>
      </c>
      <c r="J78" s="42">
        <f t="shared" si="17"/>
        <v>0</v>
      </c>
      <c r="K78" s="43">
        <f t="shared" si="7"/>
        <v>145284.89733122484</v>
      </c>
      <c r="L78" s="39">
        <f t="shared" si="9"/>
        <v>145284.89733122484</v>
      </c>
    </row>
    <row r="79" spans="2:12" s="12" customFormat="1" x14ac:dyDescent="0.35">
      <c r="B79" s="35">
        <v>64</v>
      </c>
      <c r="C79" s="40">
        <f t="shared" si="10"/>
        <v>2578265.0519770477</v>
      </c>
      <c r="D79" s="41">
        <f t="shared" si="11"/>
        <v>33302.590254703529</v>
      </c>
      <c r="E79" s="33">
        <f t="shared" si="12"/>
        <v>0</v>
      </c>
      <c r="F79" s="33">
        <f t="shared" si="13"/>
        <v>107661.50707652132</v>
      </c>
      <c r="G79" s="41">
        <f t="shared" si="14"/>
        <v>0</v>
      </c>
      <c r="H79" s="39">
        <f t="shared" si="15"/>
        <v>4320.8</v>
      </c>
      <c r="I79" s="38">
        <f t="shared" si="16"/>
        <v>0</v>
      </c>
      <c r="J79" s="42">
        <f t="shared" si="17"/>
        <v>0</v>
      </c>
      <c r="K79" s="43">
        <f t="shared" si="7"/>
        <v>145284.89733122484</v>
      </c>
      <c r="L79" s="39">
        <f t="shared" si="9"/>
        <v>145284.89733122484</v>
      </c>
    </row>
    <row r="80" spans="2:12" s="12" customFormat="1" x14ac:dyDescent="0.35">
      <c r="B80" s="35">
        <v>65</v>
      </c>
      <c r="C80" s="40">
        <f t="shared" si="10"/>
        <v>2470603.5449005263</v>
      </c>
      <c r="D80" s="41">
        <f t="shared" ref="D80:D99" si="18">C80*$D$5/12</f>
        <v>31911.962454965131</v>
      </c>
      <c r="E80" s="33">
        <f t="shared" ref="E80:E99" si="19">D80*$D$12</f>
        <v>0</v>
      </c>
      <c r="F80" s="33">
        <f t="shared" ref="F80:F99" si="20">IFERROR(PPMT($D$5/12,B80,Plazo,-$C$16),0)</f>
        <v>109052.13487625969</v>
      </c>
      <c r="G80" s="41">
        <f t="shared" ref="G80:G99" si="21">C80*$D$11/1000</f>
        <v>0</v>
      </c>
      <c r="H80" s="39">
        <f t="shared" ref="H80:H99" si="22">IF(C80&lt;0.01,0,($D$2*$D$10/1000)*1.0802)</f>
        <v>4320.8</v>
      </c>
      <c r="I80" s="38">
        <f t="shared" ref="I80:I99" si="23">H80*$D$12</f>
        <v>0</v>
      </c>
      <c r="J80" s="42">
        <f t="shared" ref="J80:J99" si="24">IF(D80&lt;0.01,0,$D$9)</f>
        <v>0</v>
      </c>
      <c r="K80" s="43">
        <f t="shared" ref="K80:K99" si="25">D80+F80+G80+H80+J80</f>
        <v>145284.89733122481</v>
      </c>
      <c r="L80" s="39">
        <f t="shared" si="9"/>
        <v>145284.89733122481</v>
      </c>
    </row>
    <row r="81" spans="2:12" s="12" customFormat="1" x14ac:dyDescent="0.35">
      <c r="B81" s="35">
        <v>66</v>
      </c>
      <c r="C81" s="40">
        <f t="shared" si="10"/>
        <v>2361551.4100242667</v>
      </c>
      <c r="D81" s="41">
        <f t="shared" si="18"/>
        <v>30503.372379480108</v>
      </c>
      <c r="E81" s="33">
        <f t="shared" si="19"/>
        <v>0</v>
      </c>
      <c r="F81" s="33">
        <f t="shared" si="20"/>
        <v>110460.72495174472</v>
      </c>
      <c r="G81" s="41">
        <f t="shared" si="21"/>
        <v>0</v>
      </c>
      <c r="H81" s="39">
        <f t="shared" si="22"/>
        <v>4320.8</v>
      </c>
      <c r="I81" s="38">
        <f t="shared" si="23"/>
        <v>0</v>
      </c>
      <c r="J81" s="42">
        <f t="shared" si="24"/>
        <v>0</v>
      </c>
      <c r="K81" s="43">
        <f t="shared" si="25"/>
        <v>145284.89733122481</v>
      </c>
      <c r="L81" s="39">
        <f t="shared" ref="L81:L99" si="26">D81+F81+G81+H81+J81+E81+I81</f>
        <v>145284.89733122481</v>
      </c>
    </row>
    <row r="82" spans="2:12" s="12" customFormat="1" x14ac:dyDescent="0.35">
      <c r="B82" s="35">
        <v>67</v>
      </c>
      <c r="C82" s="40">
        <f t="shared" si="10"/>
        <v>2251090.6850725221</v>
      </c>
      <c r="D82" s="41">
        <f t="shared" si="18"/>
        <v>29076.588015520076</v>
      </c>
      <c r="E82" s="33">
        <f t="shared" si="19"/>
        <v>0</v>
      </c>
      <c r="F82" s="33">
        <f t="shared" si="20"/>
        <v>111887.50931570475</v>
      </c>
      <c r="G82" s="41">
        <f t="shared" si="21"/>
        <v>0</v>
      </c>
      <c r="H82" s="39">
        <f t="shared" si="22"/>
        <v>4320.8</v>
      </c>
      <c r="I82" s="38">
        <f t="shared" si="23"/>
        <v>0</v>
      </c>
      <c r="J82" s="42">
        <f t="shared" si="24"/>
        <v>0</v>
      </c>
      <c r="K82" s="43">
        <f t="shared" si="25"/>
        <v>145284.89733122481</v>
      </c>
      <c r="L82" s="39">
        <f t="shared" si="26"/>
        <v>145284.89733122481</v>
      </c>
    </row>
    <row r="83" spans="2:12" s="12" customFormat="1" x14ac:dyDescent="0.35">
      <c r="B83" s="35">
        <v>68</v>
      </c>
      <c r="C83" s="40">
        <f t="shared" si="10"/>
        <v>2139203.1757568172</v>
      </c>
      <c r="D83" s="41">
        <f t="shared" si="18"/>
        <v>27631.374353525553</v>
      </c>
      <c r="E83" s="33">
        <f t="shared" si="19"/>
        <v>0</v>
      </c>
      <c r="F83" s="33">
        <f t="shared" si="20"/>
        <v>113332.72297769928</v>
      </c>
      <c r="G83" s="41">
        <f t="shared" si="21"/>
        <v>0</v>
      </c>
      <c r="H83" s="39">
        <f t="shared" si="22"/>
        <v>4320.8</v>
      </c>
      <c r="I83" s="38">
        <f t="shared" si="23"/>
        <v>0</v>
      </c>
      <c r="J83" s="42">
        <f t="shared" si="24"/>
        <v>0</v>
      </c>
      <c r="K83" s="43">
        <f t="shared" si="25"/>
        <v>145284.89733122481</v>
      </c>
      <c r="L83" s="39">
        <f t="shared" si="26"/>
        <v>145284.89733122481</v>
      </c>
    </row>
    <row r="84" spans="2:12" s="12" customFormat="1" x14ac:dyDescent="0.35">
      <c r="B84" s="35">
        <v>69</v>
      </c>
      <c r="C84" s="40">
        <f t="shared" si="10"/>
        <v>2025870.452779118</v>
      </c>
      <c r="D84" s="41">
        <f t="shared" si="18"/>
        <v>26167.49334839694</v>
      </c>
      <c r="E84" s="33">
        <f t="shared" si="19"/>
        <v>0</v>
      </c>
      <c r="F84" s="33">
        <f t="shared" si="20"/>
        <v>114796.60398282789</v>
      </c>
      <c r="G84" s="41">
        <f t="shared" si="21"/>
        <v>0</v>
      </c>
      <c r="H84" s="39">
        <f t="shared" si="22"/>
        <v>4320.8</v>
      </c>
      <c r="I84" s="38">
        <f t="shared" si="23"/>
        <v>0</v>
      </c>
      <c r="J84" s="42">
        <f t="shared" si="24"/>
        <v>0</v>
      </c>
      <c r="K84" s="43">
        <f t="shared" si="25"/>
        <v>145284.89733122481</v>
      </c>
      <c r="L84" s="39">
        <f t="shared" si="26"/>
        <v>145284.89733122481</v>
      </c>
    </row>
    <row r="85" spans="2:12" s="12" customFormat="1" x14ac:dyDescent="0.35">
      <c r="B85" s="35">
        <v>70</v>
      </c>
      <c r="C85" s="40">
        <f t="shared" si="10"/>
        <v>1911073.8487962901</v>
      </c>
      <c r="D85" s="41">
        <f t="shared" si="18"/>
        <v>24684.703880285411</v>
      </c>
      <c r="E85" s="33">
        <f t="shared" si="19"/>
        <v>0</v>
      </c>
      <c r="F85" s="33">
        <f t="shared" si="20"/>
        <v>116279.39345093943</v>
      </c>
      <c r="G85" s="41">
        <f t="shared" si="21"/>
        <v>0</v>
      </c>
      <c r="H85" s="39">
        <f t="shared" si="22"/>
        <v>4320.8</v>
      </c>
      <c r="I85" s="38">
        <f t="shared" si="23"/>
        <v>0</v>
      </c>
      <c r="J85" s="42">
        <f t="shared" si="24"/>
        <v>0</v>
      </c>
      <c r="K85" s="43">
        <f t="shared" si="25"/>
        <v>145284.89733122484</v>
      </c>
      <c r="L85" s="39">
        <f t="shared" si="26"/>
        <v>145284.89733122484</v>
      </c>
    </row>
    <row r="86" spans="2:12" s="12" customFormat="1" x14ac:dyDescent="0.35">
      <c r="B86" s="35">
        <v>71</v>
      </c>
      <c r="C86" s="40">
        <f t="shared" si="10"/>
        <v>1794794.4553453508</v>
      </c>
      <c r="D86" s="41">
        <f t="shared" si="18"/>
        <v>23182.761714877448</v>
      </c>
      <c r="E86" s="33">
        <f t="shared" si="19"/>
        <v>0</v>
      </c>
      <c r="F86" s="33">
        <f t="shared" si="20"/>
        <v>117781.33561634741</v>
      </c>
      <c r="G86" s="41">
        <f t="shared" si="21"/>
        <v>0</v>
      </c>
      <c r="H86" s="39">
        <f t="shared" si="22"/>
        <v>4320.8</v>
      </c>
      <c r="I86" s="38">
        <f t="shared" si="23"/>
        <v>0</v>
      </c>
      <c r="J86" s="42">
        <f t="shared" si="24"/>
        <v>0</v>
      </c>
      <c r="K86" s="43">
        <f t="shared" si="25"/>
        <v>145284.89733122484</v>
      </c>
      <c r="L86" s="39">
        <f t="shared" si="26"/>
        <v>145284.89733122484</v>
      </c>
    </row>
    <row r="87" spans="2:12" s="12" customFormat="1" x14ac:dyDescent="0.35">
      <c r="B87" s="35">
        <v>72</v>
      </c>
      <c r="C87" s="40">
        <f t="shared" si="10"/>
        <v>1677013.1197290034</v>
      </c>
      <c r="D87" s="41">
        <f t="shared" si="18"/>
        <v>21661.419463166294</v>
      </c>
      <c r="E87" s="33">
        <f t="shared" si="19"/>
        <v>0</v>
      </c>
      <c r="F87" s="33">
        <f t="shared" si="20"/>
        <v>119302.67786805854</v>
      </c>
      <c r="G87" s="41">
        <f t="shared" si="21"/>
        <v>0</v>
      </c>
      <c r="H87" s="39">
        <f t="shared" si="22"/>
        <v>4320.8</v>
      </c>
      <c r="I87" s="38">
        <f t="shared" si="23"/>
        <v>0</v>
      </c>
      <c r="J87" s="42">
        <f t="shared" si="24"/>
        <v>0</v>
      </c>
      <c r="K87" s="43">
        <f t="shared" si="25"/>
        <v>145284.89733122481</v>
      </c>
      <c r="L87" s="39">
        <f t="shared" si="26"/>
        <v>145284.89733122481</v>
      </c>
    </row>
    <row r="88" spans="2:12" s="12" customFormat="1" x14ac:dyDescent="0.35">
      <c r="B88" s="35">
        <v>73</v>
      </c>
      <c r="C88" s="40">
        <f t="shared" si="10"/>
        <v>1557710.441860945</v>
      </c>
      <c r="D88" s="41">
        <f t="shared" si="18"/>
        <v>20120.426540703873</v>
      </c>
      <c r="E88" s="33">
        <f t="shared" si="19"/>
        <v>0</v>
      </c>
      <c r="F88" s="33">
        <f t="shared" si="20"/>
        <v>120843.67079052098</v>
      </c>
      <c r="G88" s="41">
        <f t="shared" si="21"/>
        <v>0</v>
      </c>
      <c r="H88" s="39">
        <f t="shared" si="22"/>
        <v>4320.8</v>
      </c>
      <c r="I88" s="38">
        <f t="shared" si="23"/>
        <v>0</v>
      </c>
      <c r="J88" s="42">
        <f t="shared" si="24"/>
        <v>0</v>
      </c>
      <c r="K88" s="43">
        <f t="shared" si="25"/>
        <v>145284.89733122484</v>
      </c>
      <c r="L88" s="39">
        <f t="shared" si="26"/>
        <v>145284.89733122484</v>
      </c>
    </row>
    <row r="89" spans="2:12" s="12" customFormat="1" x14ac:dyDescent="0.35">
      <c r="B89" s="35">
        <v>74</v>
      </c>
      <c r="C89" s="40">
        <f t="shared" si="10"/>
        <v>1436866.771070424</v>
      </c>
      <c r="D89" s="41">
        <f t="shared" si="18"/>
        <v>18559.52912632631</v>
      </c>
      <c r="E89" s="33">
        <f t="shared" si="19"/>
        <v>0</v>
      </c>
      <c r="F89" s="33">
        <f t="shared" si="20"/>
        <v>122404.56820489853</v>
      </c>
      <c r="G89" s="41">
        <f t="shared" si="21"/>
        <v>0</v>
      </c>
      <c r="H89" s="39">
        <f t="shared" si="22"/>
        <v>4320.8</v>
      </c>
      <c r="I89" s="38">
        <f t="shared" si="23"/>
        <v>0</v>
      </c>
      <c r="J89" s="42">
        <f t="shared" si="24"/>
        <v>0</v>
      </c>
      <c r="K89" s="43">
        <f t="shared" si="25"/>
        <v>145284.89733122484</v>
      </c>
      <c r="L89" s="39">
        <f t="shared" si="26"/>
        <v>145284.89733122484</v>
      </c>
    </row>
    <row r="90" spans="2:12" s="12" customFormat="1" x14ac:dyDescent="0.35">
      <c r="B90" s="35">
        <v>75</v>
      </c>
      <c r="C90" s="40">
        <f t="shared" si="10"/>
        <v>1314462.2028655254</v>
      </c>
      <c r="D90" s="41">
        <f t="shared" si="18"/>
        <v>16978.47012034637</v>
      </c>
      <c r="E90" s="33">
        <f t="shared" si="19"/>
        <v>0</v>
      </c>
      <c r="F90" s="33">
        <f t="shared" si="20"/>
        <v>123985.62721087848</v>
      </c>
      <c r="G90" s="41">
        <f t="shared" si="21"/>
        <v>0</v>
      </c>
      <c r="H90" s="39">
        <f t="shared" si="22"/>
        <v>4320.8</v>
      </c>
      <c r="I90" s="38">
        <f t="shared" si="23"/>
        <v>0</v>
      </c>
      <c r="J90" s="42">
        <f t="shared" si="24"/>
        <v>0</v>
      </c>
      <c r="K90" s="43">
        <f t="shared" si="25"/>
        <v>145284.89733122484</v>
      </c>
      <c r="L90" s="39">
        <f t="shared" si="26"/>
        <v>145284.89733122484</v>
      </c>
    </row>
    <row r="91" spans="2:12" s="12" customFormat="1" x14ac:dyDescent="0.35">
      <c r="B91" s="35">
        <v>76</v>
      </c>
      <c r="C91" s="40">
        <f t="shared" si="10"/>
        <v>1190476.5756546468</v>
      </c>
      <c r="D91" s="41">
        <f t="shared" si="18"/>
        <v>15376.989102205856</v>
      </c>
      <c r="E91" s="33">
        <f t="shared" si="19"/>
        <v>0</v>
      </c>
      <c r="F91" s="33">
        <f t="shared" si="20"/>
        <v>125587.10822901898</v>
      </c>
      <c r="G91" s="41">
        <f t="shared" si="21"/>
        <v>0</v>
      </c>
      <c r="H91" s="39">
        <f t="shared" si="22"/>
        <v>4320.8</v>
      </c>
      <c r="I91" s="38">
        <f t="shared" si="23"/>
        <v>0</v>
      </c>
      <c r="J91" s="42">
        <f t="shared" si="24"/>
        <v>0</v>
      </c>
      <c r="K91" s="43">
        <f t="shared" si="25"/>
        <v>145284.89733122481</v>
      </c>
      <c r="L91" s="39">
        <f t="shared" si="26"/>
        <v>145284.89733122481</v>
      </c>
    </row>
    <row r="92" spans="2:12" s="12" customFormat="1" x14ac:dyDescent="0.35">
      <c r="B92" s="35">
        <v>77</v>
      </c>
      <c r="C92" s="40">
        <f t="shared" ref="C92:C99" si="27">IF(C91-F91&lt;0.01,0,C91-F91)</f>
        <v>1064889.4674256279</v>
      </c>
      <c r="D92" s="41">
        <f t="shared" si="18"/>
        <v>13754.822287581026</v>
      </c>
      <c r="E92" s="33">
        <f t="shared" si="19"/>
        <v>0</v>
      </c>
      <c r="F92" s="33">
        <f t="shared" si="20"/>
        <v>127209.27504364381</v>
      </c>
      <c r="G92" s="41">
        <f t="shared" si="21"/>
        <v>0</v>
      </c>
      <c r="H92" s="39">
        <f t="shared" si="22"/>
        <v>4320.8</v>
      </c>
      <c r="I92" s="38">
        <f t="shared" si="23"/>
        <v>0</v>
      </c>
      <c r="J92" s="42">
        <f t="shared" si="24"/>
        <v>0</v>
      </c>
      <c r="K92" s="43">
        <f t="shared" si="25"/>
        <v>145284.89733122481</v>
      </c>
      <c r="L92" s="39">
        <f t="shared" si="26"/>
        <v>145284.89733122481</v>
      </c>
    </row>
    <row r="93" spans="2:12" s="12" customFormat="1" x14ac:dyDescent="0.35">
      <c r="B93" s="35">
        <v>78</v>
      </c>
      <c r="C93" s="40">
        <f t="shared" si="27"/>
        <v>937680.19238198409</v>
      </c>
      <c r="D93" s="41">
        <f t="shared" si="18"/>
        <v>12111.70248493396</v>
      </c>
      <c r="E93" s="33">
        <f t="shared" si="19"/>
        <v>0</v>
      </c>
      <c r="F93" s="33">
        <f t="shared" si="20"/>
        <v>128852.39484629087</v>
      </c>
      <c r="G93" s="41">
        <f t="shared" si="21"/>
        <v>0</v>
      </c>
      <c r="H93" s="39">
        <f t="shared" si="22"/>
        <v>4320.8</v>
      </c>
      <c r="I93" s="38">
        <f t="shared" si="23"/>
        <v>0</v>
      </c>
      <c r="J93" s="42">
        <f t="shared" si="24"/>
        <v>0</v>
      </c>
      <c r="K93" s="43">
        <f t="shared" si="25"/>
        <v>145284.89733122481</v>
      </c>
      <c r="L93" s="39">
        <f t="shared" si="26"/>
        <v>145284.89733122481</v>
      </c>
    </row>
    <row r="94" spans="2:12" s="12" customFormat="1" x14ac:dyDescent="0.35">
      <c r="B94" s="35">
        <v>79</v>
      </c>
      <c r="C94" s="40">
        <f t="shared" si="27"/>
        <v>808827.79753569327</v>
      </c>
      <c r="D94" s="41">
        <f t="shared" si="18"/>
        <v>10447.359051502704</v>
      </c>
      <c r="E94" s="33">
        <f t="shared" si="19"/>
        <v>0</v>
      </c>
      <c r="F94" s="33">
        <f t="shared" si="20"/>
        <v>130516.73827972212</v>
      </c>
      <c r="G94" s="41">
        <f t="shared" si="21"/>
        <v>0</v>
      </c>
      <c r="H94" s="39">
        <f t="shared" si="22"/>
        <v>4320.8</v>
      </c>
      <c r="I94" s="38">
        <f t="shared" si="23"/>
        <v>0</v>
      </c>
      <c r="J94" s="42">
        <f t="shared" si="24"/>
        <v>0</v>
      </c>
      <c r="K94" s="43">
        <f t="shared" si="25"/>
        <v>145284.89733122481</v>
      </c>
      <c r="L94" s="39">
        <f t="shared" si="26"/>
        <v>145284.89733122481</v>
      </c>
    </row>
    <row r="95" spans="2:12" s="12" customFormat="1" x14ac:dyDescent="0.35">
      <c r="B95" s="35">
        <v>80</v>
      </c>
      <c r="C95" s="40">
        <f t="shared" si="27"/>
        <v>678311.05925597111</v>
      </c>
      <c r="D95" s="41">
        <f t="shared" si="18"/>
        <v>8761.5178487229605</v>
      </c>
      <c r="E95" s="33">
        <f t="shared" si="19"/>
        <v>0</v>
      </c>
      <c r="F95" s="33">
        <f t="shared" si="20"/>
        <v>132202.5794825019</v>
      </c>
      <c r="G95" s="41">
        <f t="shared" si="21"/>
        <v>0</v>
      </c>
      <c r="H95" s="39">
        <f t="shared" si="22"/>
        <v>4320.8</v>
      </c>
      <c r="I95" s="38">
        <f t="shared" si="23"/>
        <v>0</v>
      </c>
      <c r="J95" s="42">
        <f t="shared" si="24"/>
        <v>0</v>
      </c>
      <c r="K95" s="43">
        <f t="shared" si="25"/>
        <v>145284.89733122484</v>
      </c>
      <c r="L95" s="39">
        <f t="shared" si="26"/>
        <v>145284.89733122484</v>
      </c>
    </row>
    <row r="96" spans="2:12" s="12" customFormat="1" x14ac:dyDescent="0.35">
      <c r="B96" s="35">
        <v>81</v>
      </c>
      <c r="C96" s="40">
        <f t="shared" si="27"/>
        <v>546108.47977346927</v>
      </c>
      <c r="D96" s="41">
        <f t="shared" si="18"/>
        <v>7053.9011970739775</v>
      </c>
      <c r="E96" s="33">
        <f t="shared" si="19"/>
        <v>0</v>
      </c>
      <c r="F96" s="33">
        <f t="shared" si="20"/>
        <v>133910.19613415087</v>
      </c>
      <c r="G96" s="41">
        <f t="shared" si="21"/>
        <v>0</v>
      </c>
      <c r="H96" s="39">
        <f t="shared" si="22"/>
        <v>4320.8</v>
      </c>
      <c r="I96" s="38">
        <f t="shared" si="23"/>
        <v>0</v>
      </c>
      <c r="J96" s="42">
        <f t="shared" si="24"/>
        <v>0</v>
      </c>
      <c r="K96" s="43">
        <f t="shared" si="25"/>
        <v>145284.89733122484</v>
      </c>
      <c r="L96" s="39">
        <f t="shared" si="26"/>
        <v>145284.89733122484</v>
      </c>
    </row>
    <row r="97" spans="2:12" s="12" customFormat="1" x14ac:dyDescent="0.35">
      <c r="B97" s="35">
        <v>82</v>
      </c>
      <c r="C97" s="40">
        <f t="shared" si="27"/>
        <v>412198.28363931843</v>
      </c>
      <c r="D97" s="41">
        <f t="shared" si="18"/>
        <v>5324.2278303411958</v>
      </c>
      <c r="E97" s="33">
        <f t="shared" si="19"/>
        <v>0</v>
      </c>
      <c r="F97" s="33">
        <f t="shared" si="20"/>
        <v>135639.86950088365</v>
      </c>
      <c r="G97" s="41">
        <f t="shared" si="21"/>
        <v>0</v>
      </c>
      <c r="H97" s="39">
        <f t="shared" si="22"/>
        <v>4320.8</v>
      </c>
      <c r="I97" s="38">
        <f t="shared" si="23"/>
        <v>0</v>
      </c>
      <c r="J97" s="42">
        <f t="shared" si="24"/>
        <v>0</v>
      </c>
      <c r="K97" s="43">
        <f t="shared" si="25"/>
        <v>145284.89733122484</v>
      </c>
      <c r="L97" s="39">
        <f t="shared" si="26"/>
        <v>145284.89733122484</v>
      </c>
    </row>
    <row r="98" spans="2:12" s="12" customFormat="1" x14ac:dyDescent="0.35">
      <c r="B98" s="35">
        <v>83</v>
      </c>
      <c r="C98" s="40">
        <f t="shared" si="27"/>
        <v>276558.4141384348</v>
      </c>
      <c r="D98" s="41">
        <f t="shared" si="18"/>
        <v>3572.2128492881161</v>
      </c>
      <c r="E98" s="33">
        <f t="shared" si="19"/>
        <v>0</v>
      </c>
      <c r="F98" s="33">
        <f t="shared" si="20"/>
        <v>137391.88448193675</v>
      </c>
      <c r="G98" s="41">
        <f t="shared" si="21"/>
        <v>0</v>
      </c>
      <c r="H98" s="39">
        <f t="shared" si="22"/>
        <v>4320.8</v>
      </c>
      <c r="I98" s="38">
        <f t="shared" si="23"/>
        <v>0</v>
      </c>
      <c r="J98" s="42">
        <f t="shared" si="24"/>
        <v>0</v>
      </c>
      <c r="K98" s="43">
        <f t="shared" si="25"/>
        <v>145284.89733122484</v>
      </c>
      <c r="L98" s="39">
        <f t="shared" si="26"/>
        <v>145284.89733122484</v>
      </c>
    </row>
    <row r="99" spans="2:12" s="12" customFormat="1" x14ac:dyDescent="0.35">
      <c r="B99" s="35">
        <v>84</v>
      </c>
      <c r="C99" s="40">
        <f t="shared" si="27"/>
        <v>139166.52965649805</v>
      </c>
      <c r="D99" s="41">
        <f t="shared" si="18"/>
        <v>1797.5676747297666</v>
      </c>
      <c r="E99" s="33">
        <f t="shared" si="19"/>
        <v>0</v>
      </c>
      <c r="F99" s="33">
        <f t="shared" si="20"/>
        <v>139166.52965649505</v>
      </c>
      <c r="G99" s="41">
        <f t="shared" si="21"/>
        <v>0</v>
      </c>
      <c r="H99" s="39">
        <f t="shared" si="22"/>
        <v>4320.8</v>
      </c>
      <c r="I99" s="38">
        <f t="shared" si="23"/>
        <v>0</v>
      </c>
      <c r="J99" s="42">
        <f t="shared" si="24"/>
        <v>0</v>
      </c>
      <c r="K99" s="43">
        <f t="shared" si="25"/>
        <v>145284.89733122481</v>
      </c>
      <c r="L99" s="39">
        <f t="shared" si="26"/>
        <v>145284.89733122481</v>
      </c>
    </row>
    <row r="100" spans="2:12" s="12" customFormat="1" ht="15" thickBot="1" x14ac:dyDescent="0.4">
      <c r="B100" s="79" t="s">
        <v>19</v>
      </c>
      <c r="C100" s="80"/>
      <c r="D100" s="44">
        <f>SUM(D16:D99)</f>
        <v>4640984.1758228848</v>
      </c>
      <c r="E100" s="44"/>
      <c r="F100" s="44">
        <f>SUM(F16:F99)</f>
        <v>7200000.0000000019</v>
      </c>
      <c r="G100" s="44">
        <f>SUM(G16:G99)</f>
        <v>0</v>
      </c>
      <c r="H100" s="44">
        <f>SUM(H16:H99)</f>
        <v>362947.19999999943</v>
      </c>
      <c r="I100" s="44"/>
      <c r="J100" s="44">
        <f>SUM(J16:J99)</f>
        <v>0</v>
      </c>
      <c r="K100" s="45"/>
      <c r="L100" s="45"/>
    </row>
  </sheetData>
  <sheetProtection algorithmName="SHA-512" hashValue="RLW8kCN0fX8+ohxQMi3Rj+9H96JTQrIJPza8AMbLdPsF96B4mwHkXT9Psi1FNBPZobnta6pHdGwtaSNI7Dlp4g==" saltValue="TQVUclpRZg4/azvFJpV/fA==" spinCount="100000" sheet="1" objects="1" scenarios="1" selectLockedCells="1"/>
  <mergeCells count="1">
    <mergeCell ref="B100:C100"/>
  </mergeCells>
  <dataValidations count="3">
    <dataValidation allowBlank="1" showInputMessage="1" showErrorMessage="1" promptTitle="Seguro Daños" prompt="Prima Mensual al millar" sqref="D10" xr:uid="{00000000-0002-0000-0000-000000000000}"/>
    <dataValidation allowBlank="1" showInputMessage="1" showErrorMessage="1" promptTitle="Seguro Vida" prompt="Prima Mensual al millar" sqref="D11" xr:uid="{00000000-0002-0000-0000-000001000000}"/>
    <dataValidation type="decimal" allowBlank="1" showInputMessage="1" showErrorMessage="1" sqref="D3" xr:uid="{00000000-0002-0000-0000-000002000000}">
      <formula1>400000</formula1>
      <formula2>15000000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9</xdr:col>
                    <xdr:colOff>304800</xdr:colOff>
                    <xdr:row>7</xdr:row>
                    <xdr:rowOff>0</xdr:rowOff>
                  </from>
                  <to>
                    <xdr:col>11</xdr:col>
                    <xdr:colOff>622300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9</xdr:col>
                    <xdr:colOff>304800</xdr:colOff>
                    <xdr:row>8</xdr:row>
                    <xdr:rowOff>146050</xdr:rowOff>
                  </from>
                  <to>
                    <xdr:col>11</xdr:col>
                    <xdr:colOff>622300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9</xdr:col>
                    <xdr:colOff>304800</xdr:colOff>
                    <xdr:row>10</xdr:row>
                    <xdr:rowOff>69850</xdr:rowOff>
                  </from>
                  <to>
                    <xdr:col>11</xdr:col>
                    <xdr:colOff>622300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4</xdr:col>
                    <xdr:colOff>12700</xdr:colOff>
                    <xdr:row>11</xdr:row>
                    <xdr:rowOff>0</xdr:rowOff>
                  </from>
                  <to>
                    <xdr:col>5</xdr:col>
                    <xdr:colOff>50800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9</xdr:col>
                    <xdr:colOff>298450</xdr:colOff>
                    <xdr:row>5</xdr:row>
                    <xdr:rowOff>69850</xdr:rowOff>
                  </from>
                  <to>
                    <xdr:col>11</xdr:col>
                    <xdr:colOff>609600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>
                  <from>
                    <xdr:col>5</xdr:col>
                    <xdr:colOff>165100</xdr:colOff>
                    <xdr:row>10</xdr:row>
                    <xdr:rowOff>107950</xdr:rowOff>
                  </from>
                  <to>
                    <xdr:col>6</xdr:col>
                    <xdr:colOff>336550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defaultSize="0" autoFill="0" autoLine="0" autoPict="0">
                <anchor moveWithCells="1">
                  <from>
                    <xdr:col>5</xdr:col>
                    <xdr:colOff>184150</xdr:colOff>
                    <xdr:row>11</xdr:row>
                    <xdr:rowOff>114300</xdr:rowOff>
                  </from>
                  <to>
                    <xdr:col>6</xdr:col>
                    <xdr:colOff>342900</xdr:colOff>
                    <xdr:row>12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I53"/>
  <sheetViews>
    <sheetView showGridLines="0" showRowColHeaders="0" workbookViewId="0">
      <selection activeCell="G3" sqref="G3"/>
    </sheetView>
  </sheetViews>
  <sheetFormatPr baseColWidth="10" defaultColWidth="10.81640625" defaultRowHeight="14.5" x14ac:dyDescent="0.35"/>
  <cols>
    <col min="1" max="1" width="2.54296875" customWidth="1"/>
    <col min="2" max="3" width="15.54296875" customWidth="1"/>
    <col min="6" max="6" width="11.7265625" bestFit="1" customWidth="1"/>
    <col min="7" max="7" width="5.54296875" style="58" customWidth="1"/>
    <col min="8" max="8" width="20.54296875" bestFit="1" customWidth="1"/>
    <col min="9" max="9" width="10.81640625" style="58"/>
  </cols>
  <sheetData>
    <row r="1" spans="2:9" ht="15" thickBot="1" x14ac:dyDescent="0.4"/>
    <row r="2" spans="2:9" ht="15" thickTop="1" x14ac:dyDescent="0.35">
      <c r="B2" s="81" t="s">
        <v>20</v>
      </c>
      <c r="C2" s="82"/>
      <c r="D2" s="59" t="s">
        <v>23</v>
      </c>
      <c r="E2" s="60" t="s">
        <v>26</v>
      </c>
    </row>
    <row r="3" spans="2:9" x14ac:dyDescent="0.35">
      <c r="B3" s="61" t="s">
        <v>21</v>
      </c>
      <c r="C3" s="58" t="s">
        <v>22</v>
      </c>
      <c r="D3" s="58" t="s">
        <v>24</v>
      </c>
      <c r="E3" s="62" t="s">
        <v>27</v>
      </c>
      <c r="G3" s="63">
        <v>7</v>
      </c>
      <c r="H3" s="64" t="str">
        <f>VLOOKUP($G3,$G$4:$I$10,2,0)</f>
        <v>7 Años</v>
      </c>
      <c r="I3" s="65">
        <f>VLOOKUP($G3,$G$4:$I$10,3,0)</f>
        <v>84</v>
      </c>
    </row>
    <row r="4" spans="2:9" x14ac:dyDescent="0.35">
      <c r="B4" s="66">
        <v>0</v>
      </c>
      <c r="C4" s="67">
        <v>100000</v>
      </c>
      <c r="D4" s="68">
        <v>7.4999999999999997E-3</v>
      </c>
      <c r="E4" s="69">
        <f>D4*C4</f>
        <v>750</v>
      </c>
      <c r="G4" s="58">
        <v>1</v>
      </c>
      <c r="H4" t="s">
        <v>75</v>
      </c>
      <c r="I4" s="58">
        <v>12</v>
      </c>
    </row>
    <row r="5" spans="2:9" x14ac:dyDescent="0.35">
      <c r="B5" s="66">
        <f>C4+0.01</f>
        <v>100000.01</v>
      </c>
      <c r="C5" s="67">
        <f>C4+100000</f>
        <v>200000</v>
      </c>
      <c r="D5" s="68">
        <v>6.7999999999999996E-3</v>
      </c>
      <c r="E5" s="69">
        <f t="shared" ref="E5:E10" si="0">D5*C5</f>
        <v>1360</v>
      </c>
      <c r="G5" s="58">
        <f>1+G4</f>
        <v>2</v>
      </c>
      <c r="H5" t="s">
        <v>76</v>
      </c>
      <c r="I5" s="58">
        <f>12+I4</f>
        <v>24</v>
      </c>
    </row>
    <row r="6" spans="2:9" x14ac:dyDescent="0.35">
      <c r="B6" s="66">
        <f t="shared" ref="B6:B15" si="1">C5+0.01</f>
        <v>200000.01</v>
      </c>
      <c r="C6" s="67">
        <f t="shared" ref="C6:C8" si="2">C5+100000</f>
        <v>300000</v>
      </c>
      <c r="D6" s="68">
        <v>6.6E-3</v>
      </c>
      <c r="E6" s="69">
        <f t="shared" si="0"/>
        <v>1980</v>
      </c>
      <c r="F6" s="67"/>
      <c r="G6" s="58">
        <f t="shared" ref="G6:G10" si="3">1+G5</f>
        <v>3</v>
      </c>
      <c r="H6" t="s">
        <v>77</v>
      </c>
      <c r="I6" s="58">
        <f t="shared" ref="I6:I10" si="4">12+I5</f>
        <v>36</v>
      </c>
    </row>
    <row r="7" spans="2:9" x14ac:dyDescent="0.35">
      <c r="B7" s="66">
        <f t="shared" si="1"/>
        <v>300000.01</v>
      </c>
      <c r="C7" s="67">
        <f t="shared" si="2"/>
        <v>400000</v>
      </c>
      <c r="D7" s="68">
        <v>6.4999999999999997E-3</v>
      </c>
      <c r="E7" s="69">
        <f t="shared" si="0"/>
        <v>2600</v>
      </c>
      <c r="G7" s="58">
        <f t="shared" si="3"/>
        <v>4</v>
      </c>
      <c r="H7" t="s">
        <v>78</v>
      </c>
      <c r="I7" s="58">
        <f t="shared" si="4"/>
        <v>48</v>
      </c>
    </row>
    <row r="8" spans="2:9" x14ac:dyDescent="0.35">
      <c r="B8" s="66">
        <f t="shared" si="1"/>
        <v>400000.01</v>
      </c>
      <c r="C8" s="67">
        <f t="shared" si="2"/>
        <v>500000</v>
      </c>
      <c r="D8" s="68">
        <v>6.4000000000000003E-3</v>
      </c>
      <c r="E8" s="69">
        <f t="shared" si="0"/>
        <v>3200</v>
      </c>
      <c r="G8" s="58">
        <f t="shared" si="3"/>
        <v>5</v>
      </c>
      <c r="H8" t="s">
        <v>79</v>
      </c>
      <c r="I8" s="58">
        <f t="shared" si="4"/>
        <v>60</v>
      </c>
    </row>
    <row r="9" spans="2:9" x14ac:dyDescent="0.35">
      <c r="B9" s="66">
        <f t="shared" si="1"/>
        <v>500000.01</v>
      </c>
      <c r="C9" s="67">
        <f>C8+250000</f>
        <v>750000</v>
      </c>
      <c r="D9" s="68">
        <v>6.0000000000000001E-3</v>
      </c>
      <c r="E9" s="69">
        <f t="shared" si="0"/>
        <v>4500</v>
      </c>
      <c r="G9" s="58">
        <f t="shared" si="3"/>
        <v>6</v>
      </c>
      <c r="H9" t="s">
        <v>82</v>
      </c>
      <c r="I9" s="58">
        <f t="shared" si="4"/>
        <v>72</v>
      </c>
    </row>
    <row r="10" spans="2:9" x14ac:dyDescent="0.35">
      <c r="B10" s="66">
        <f t="shared" si="1"/>
        <v>750000.01</v>
      </c>
      <c r="C10" s="67">
        <f>C9+250000</f>
        <v>1000000</v>
      </c>
      <c r="D10" s="68">
        <v>5.4999999999999997E-3</v>
      </c>
      <c r="E10" s="69">
        <f t="shared" si="0"/>
        <v>5500</v>
      </c>
      <c r="G10" s="58">
        <f t="shared" si="3"/>
        <v>7</v>
      </c>
      <c r="H10" t="s">
        <v>83</v>
      </c>
      <c r="I10" s="58">
        <f t="shared" si="4"/>
        <v>84</v>
      </c>
    </row>
    <row r="11" spans="2:9" x14ac:dyDescent="0.35">
      <c r="B11" s="66">
        <f t="shared" si="1"/>
        <v>1000000.01</v>
      </c>
      <c r="C11" s="67">
        <v>10000000</v>
      </c>
      <c r="D11" s="68">
        <v>5.0000000000000001E-3</v>
      </c>
      <c r="E11" s="69">
        <v>40000</v>
      </c>
    </row>
    <row r="12" spans="2:9" x14ac:dyDescent="0.35">
      <c r="B12" s="66">
        <f t="shared" si="1"/>
        <v>10000000.01</v>
      </c>
      <c r="C12" s="67">
        <v>20000000</v>
      </c>
      <c r="D12" s="68">
        <v>5.0000000000000001E-3</v>
      </c>
      <c r="E12" s="69">
        <v>45000</v>
      </c>
    </row>
    <row r="13" spans="2:9" x14ac:dyDescent="0.35">
      <c r="B13" s="66">
        <f t="shared" si="1"/>
        <v>20000000.010000002</v>
      </c>
      <c r="C13" s="67">
        <v>50000000</v>
      </c>
      <c r="D13" s="68">
        <v>5.0000000000000001E-3</v>
      </c>
      <c r="E13" s="69">
        <f>E12+5000</f>
        <v>50000</v>
      </c>
      <c r="G13" s="63">
        <v>1</v>
      </c>
      <c r="H13" s="64" t="str">
        <f>VLOOKUP($G13,$G$14:$I$15,2,0)</f>
        <v>Uso Propio</v>
      </c>
      <c r="I13" s="70">
        <f>VLOOKUP($G13,$G$14:$I$15,3,0)</f>
        <v>0.9</v>
      </c>
    </row>
    <row r="14" spans="2:9" x14ac:dyDescent="0.35">
      <c r="B14" s="66">
        <f t="shared" si="1"/>
        <v>50000000.009999998</v>
      </c>
      <c r="C14" s="67">
        <v>100000000</v>
      </c>
      <c r="D14" s="68">
        <v>5.0000000000000001E-3</v>
      </c>
      <c r="E14" s="69">
        <f>E13+5000</f>
        <v>55000</v>
      </c>
      <c r="G14" s="58">
        <v>1</v>
      </c>
      <c r="H14" t="s">
        <v>40</v>
      </c>
      <c r="I14" s="71">
        <f>CHOOSE(G18,70%,70%,90%)</f>
        <v>0.9</v>
      </c>
    </row>
    <row r="15" spans="2:9" ht="15" thickBot="1" x14ac:dyDescent="0.4">
      <c r="B15" s="72">
        <f t="shared" si="1"/>
        <v>100000000.01000001</v>
      </c>
      <c r="C15" s="73" t="s">
        <v>25</v>
      </c>
      <c r="D15" s="74">
        <v>5.0000000000000001E-3</v>
      </c>
      <c r="E15" s="75">
        <f>E14+5000</f>
        <v>60000</v>
      </c>
      <c r="G15" s="58">
        <v>2</v>
      </c>
      <c r="H15" t="s">
        <v>41</v>
      </c>
      <c r="I15" s="71">
        <f>CHOOSE(G18,60%,0%,80%)</f>
        <v>0.8</v>
      </c>
    </row>
    <row r="16" spans="2:9" ht="15" thickTop="1" x14ac:dyDescent="0.35"/>
    <row r="17" spans="2:9" x14ac:dyDescent="0.35">
      <c r="B17" s="63" t="s">
        <v>34</v>
      </c>
      <c r="C17" s="76" t="b">
        <v>0</v>
      </c>
    </row>
    <row r="18" spans="2:9" x14ac:dyDescent="0.35">
      <c r="G18" s="63">
        <v>3</v>
      </c>
      <c r="H18" s="64" t="str">
        <f>VLOOKUP($G18,$G$19:$I$21,2,0)</f>
        <v>Construcción Terreno</v>
      </c>
      <c r="I18" s="65">
        <f>VLOOKUP($G18,$G$19:$I$21,3,0)</f>
        <v>84</v>
      </c>
    </row>
    <row r="19" spans="2:9" x14ac:dyDescent="0.35">
      <c r="G19" s="58">
        <v>1</v>
      </c>
      <c r="H19" t="s">
        <v>38</v>
      </c>
      <c r="I19" s="58">
        <v>84</v>
      </c>
    </row>
    <row r="20" spans="2:9" x14ac:dyDescent="0.35">
      <c r="B20" s="63">
        <v>19</v>
      </c>
      <c r="C20" s="77" t="str">
        <f>VLOOKUP($B20,$B$22:$D$53,2,0)</f>
        <v>Nuevo Leon</v>
      </c>
      <c r="D20" s="77">
        <f>VLOOKUP($B20,$B$22:$D$53,3,0)</f>
        <v>1</v>
      </c>
      <c r="G20" s="58">
        <v>2</v>
      </c>
      <c r="H20" t="s">
        <v>39</v>
      </c>
      <c r="I20" s="58">
        <v>60</v>
      </c>
    </row>
    <row r="21" spans="2:9" x14ac:dyDescent="0.35">
      <c r="B21" s="78" t="s">
        <v>28</v>
      </c>
      <c r="C21" s="78" t="s">
        <v>29</v>
      </c>
      <c r="D21" s="78" t="s">
        <v>30</v>
      </c>
      <c r="G21" s="58">
        <v>3</v>
      </c>
      <c r="H21" t="s">
        <v>42</v>
      </c>
      <c r="I21" s="58">
        <v>84</v>
      </c>
    </row>
    <row r="22" spans="2:9" x14ac:dyDescent="0.35">
      <c r="B22" s="58">
        <v>1</v>
      </c>
      <c r="C22" s="58" t="s">
        <v>43</v>
      </c>
      <c r="D22" s="58">
        <v>1</v>
      </c>
    </row>
    <row r="23" spans="2:9" x14ac:dyDescent="0.35">
      <c r="B23" s="58">
        <v>2</v>
      </c>
      <c r="C23" s="58" t="s">
        <v>73</v>
      </c>
      <c r="D23" s="58">
        <v>1</v>
      </c>
    </row>
    <row r="24" spans="2:9" x14ac:dyDescent="0.35">
      <c r="B24" s="58">
        <v>3</v>
      </c>
      <c r="C24" s="58" t="s">
        <v>74</v>
      </c>
      <c r="D24" s="58">
        <v>1</v>
      </c>
    </row>
    <row r="25" spans="2:9" x14ac:dyDescent="0.35">
      <c r="B25" s="58">
        <v>4</v>
      </c>
      <c r="C25" s="58" t="s">
        <v>44</v>
      </c>
      <c r="D25" s="58">
        <v>1</v>
      </c>
      <c r="G25" s="63">
        <v>1</v>
      </c>
      <c r="H25" s="64" t="str">
        <f>VLOOKUP($G25,$G$26:$I$27,2,0)</f>
        <v>P. Moral</v>
      </c>
      <c r="I25" s="70">
        <f>VLOOKUP($G25,$G$26:$I$27,3,0)</f>
        <v>0</v>
      </c>
    </row>
    <row r="26" spans="2:9" x14ac:dyDescent="0.35">
      <c r="B26" s="58">
        <v>5</v>
      </c>
      <c r="C26" s="58" t="s">
        <v>45</v>
      </c>
      <c r="D26" s="58">
        <v>1</v>
      </c>
      <c r="G26" s="58">
        <v>1</v>
      </c>
      <c r="H26" t="s">
        <v>80</v>
      </c>
      <c r="I26" s="71">
        <v>0</v>
      </c>
    </row>
    <row r="27" spans="2:9" x14ac:dyDescent="0.35">
      <c r="B27" s="58">
        <v>6</v>
      </c>
      <c r="C27" s="58" t="s">
        <v>46</v>
      </c>
      <c r="D27" s="58">
        <v>1</v>
      </c>
      <c r="G27" s="58">
        <v>2</v>
      </c>
      <c r="H27" t="s">
        <v>81</v>
      </c>
      <c r="I27" s="71">
        <f>IF(ZFr,11%,16%)</f>
        <v>0.16</v>
      </c>
    </row>
    <row r="28" spans="2:9" x14ac:dyDescent="0.35">
      <c r="B28" s="58">
        <v>7</v>
      </c>
      <c r="C28" s="58" t="s">
        <v>47</v>
      </c>
      <c r="D28" s="58">
        <v>1</v>
      </c>
    </row>
    <row r="29" spans="2:9" x14ac:dyDescent="0.35">
      <c r="B29" s="58">
        <v>8</v>
      </c>
      <c r="C29" s="58" t="s">
        <v>48</v>
      </c>
      <c r="D29" s="58">
        <v>1</v>
      </c>
    </row>
    <row r="30" spans="2:9" x14ac:dyDescent="0.35">
      <c r="B30" s="58">
        <v>9</v>
      </c>
      <c r="C30" s="58" t="s">
        <v>49</v>
      </c>
      <c r="D30" s="58">
        <v>1</v>
      </c>
    </row>
    <row r="31" spans="2:9" x14ac:dyDescent="0.35">
      <c r="B31" s="58">
        <v>10</v>
      </c>
      <c r="C31" s="58" t="s">
        <v>50</v>
      </c>
      <c r="D31" s="58">
        <v>1</v>
      </c>
    </row>
    <row r="32" spans="2:9" x14ac:dyDescent="0.35">
      <c r="B32" s="58">
        <v>11</v>
      </c>
      <c r="C32" s="58" t="s">
        <v>51</v>
      </c>
      <c r="D32" s="58">
        <v>1</v>
      </c>
    </row>
    <row r="33" spans="2:4" x14ac:dyDescent="0.35">
      <c r="B33" s="58">
        <v>12</v>
      </c>
      <c r="C33" s="58" t="s">
        <v>52</v>
      </c>
      <c r="D33" s="58">
        <v>1</v>
      </c>
    </row>
    <row r="34" spans="2:4" x14ac:dyDescent="0.35">
      <c r="B34" s="58">
        <v>13</v>
      </c>
      <c r="C34" s="58" t="s">
        <v>53</v>
      </c>
      <c r="D34" s="58">
        <v>1</v>
      </c>
    </row>
    <row r="35" spans="2:4" x14ac:dyDescent="0.35">
      <c r="B35" s="58">
        <v>14</v>
      </c>
      <c r="C35" s="58" t="s">
        <v>54</v>
      </c>
      <c r="D35" s="58">
        <v>1</v>
      </c>
    </row>
    <row r="36" spans="2:4" x14ac:dyDescent="0.35">
      <c r="B36" s="58">
        <v>15</v>
      </c>
      <c r="C36" s="58" t="s">
        <v>55</v>
      </c>
      <c r="D36" s="58">
        <v>1</v>
      </c>
    </row>
    <row r="37" spans="2:4" x14ac:dyDescent="0.35">
      <c r="B37" s="58">
        <v>16</v>
      </c>
      <c r="C37" s="58" t="s">
        <v>56</v>
      </c>
      <c r="D37" s="58">
        <v>1</v>
      </c>
    </row>
    <row r="38" spans="2:4" x14ac:dyDescent="0.35">
      <c r="B38" s="58">
        <v>17</v>
      </c>
      <c r="C38" s="58" t="s">
        <v>57</v>
      </c>
      <c r="D38" s="58">
        <v>1</v>
      </c>
    </row>
    <row r="39" spans="2:4" x14ac:dyDescent="0.35">
      <c r="B39" s="58">
        <v>18</v>
      </c>
      <c r="C39" s="58" t="s">
        <v>58</v>
      </c>
      <c r="D39" s="58">
        <v>1</v>
      </c>
    </row>
    <row r="40" spans="2:4" x14ac:dyDescent="0.35">
      <c r="B40" s="58">
        <v>19</v>
      </c>
      <c r="C40" s="58" t="s">
        <v>59</v>
      </c>
      <c r="D40" s="58">
        <v>1</v>
      </c>
    </row>
    <row r="41" spans="2:4" x14ac:dyDescent="0.35">
      <c r="B41" s="58">
        <v>20</v>
      </c>
      <c r="C41" s="58" t="s">
        <v>60</v>
      </c>
      <c r="D41" s="58">
        <v>1</v>
      </c>
    </row>
    <row r="42" spans="2:4" x14ac:dyDescent="0.35">
      <c r="B42" s="58">
        <v>21</v>
      </c>
      <c r="C42" s="58" t="s">
        <v>61</v>
      </c>
      <c r="D42" s="58">
        <v>1</v>
      </c>
    </row>
    <row r="43" spans="2:4" x14ac:dyDescent="0.35">
      <c r="B43" s="58">
        <v>22</v>
      </c>
      <c r="C43" s="58" t="s">
        <v>62</v>
      </c>
      <c r="D43" s="58">
        <v>1</v>
      </c>
    </row>
    <row r="44" spans="2:4" x14ac:dyDescent="0.35">
      <c r="B44" s="58">
        <v>23</v>
      </c>
      <c r="C44" s="58" t="s">
        <v>63</v>
      </c>
      <c r="D44" s="58">
        <v>2</v>
      </c>
    </row>
    <row r="45" spans="2:4" x14ac:dyDescent="0.35">
      <c r="B45" s="58">
        <v>24</v>
      </c>
      <c r="C45" s="58" t="s">
        <v>64</v>
      </c>
      <c r="D45" s="58">
        <v>1</v>
      </c>
    </row>
    <row r="46" spans="2:4" x14ac:dyDescent="0.35">
      <c r="B46" s="58">
        <v>25</v>
      </c>
      <c r="C46" s="58" t="s">
        <v>65</v>
      </c>
      <c r="D46" s="58">
        <v>1</v>
      </c>
    </row>
    <row r="47" spans="2:4" x14ac:dyDescent="0.35">
      <c r="B47" s="58">
        <v>26</v>
      </c>
      <c r="C47" s="58" t="s">
        <v>66</v>
      </c>
      <c r="D47" s="58">
        <v>1</v>
      </c>
    </row>
    <row r="48" spans="2:4" x14ac:dyDescent="0.35">
      <c r="B48" s="58">
        <v>27</v>
      </c>
      <c r="C48" s="58" t="s">
        <v>67</v>
      </c>
      <c r="D48" s="58">
        <v>1</v>
      </c>
    </row>
    <row r="49" spans="2:4" x14ac:dyDescent="0.35">
      <c r="B49" s="58">
        <v>28</v>
      </c>
      <c r="C49" s="58" t="s">
        <v>68</v>
      </c>
      <c r="D49" s="58">
        <v>2</v>
      </c>
    </row>
    <row r="50" spans="2:4" x14ac:dyDescent="0.35">
      <c r="B50" s="58">
        <v>29</v>
      </c>
      <c r="C50" s="58" t="s">
        <v>69</v>
      </c>
      <c r="D50" s="58">
        <v>1</v>
      </c>
    </row>
    <row r="51" spans="2:4" x14ac:dyDescent="0.35">
      <c r="B51" s="58">
        <v>30</v>
      </c>
      <c r="C51" s="58" t="s">
        <v>70</v>
      </c>
      <c r="D51" s="58">
        <v>1</v>
      </c>
    </row>
    <row r="52" spans="2:4" x14ac:dyDescent="0.35">
      <c r="B52" s="58">
        <v>31</v>
      </c>
      <c r="C52" s="58" t="s">
        <v>71</v>
      </c>
      <c r="D52" s="58">
        <v>1</v>
      </c>
    </row>
    <row r="53" spans="2:4" x14ac:dyDescent="0.35">
      <c r="B53" s="58">
        <v>32</v>
      </c>
      <c r="C53" s="58" t="s">
        <v>72</v>
      </c>
      <c r="D53" s="58">
        <v>1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Simulador</vt:lpstr>
      <vt:lpstr>Parametros</vt:lpstr>
      <vt:lpstr>CAT</vt:lpstr>
      <vt:lpstr>Financiamiento</vt:lpstr>
      <vt:lpstr>H_Not</vt:lpstr>
      <vt:lpstr>Plazo</vt:lpstr>
      <vt:lpstr>TOPE</vt:lpstr>
      <vt:lpstr>ZFr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Arturo Arias Medina</dc:creator>
  <cp:lastModifiedBy>Jessica Iveth Elizondo Puga</cp:lastModifiedBy>
  <dcterms:created xsi:type="dcterms:W3CDTF">2020-09-29T22:43:56Z</dcterms:created>
  <dcterms:modified xsi:type="dcterms:W3CDTF">2025-10-21T23:19:08Z</dcterms:modified>
</cp:coreProperties>
</file>