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d.docs.live.net/23cdffae4867f693/Documentos/MENTHOR 2-0/TU CASA EXPRESS/"/>
    </mc:Choice>
  </mc:AlternateContent>
  <xr:revisionPtr revIDLastSave="0" documentId="8_{23EF8B38-38E5-4EC8-AFF4-F77B2E19D14B}" xr6:coauthVersionLast="47" xr6:coauthVersionMax="47" xr10:uidLastSave="{00000000-0000-0000-0000-000000000000}"/>
  <bookViews>
    <workbookView xWindow="-110" yWindow="-110" windowWidth="19420" windowHeight="10420" xr2:uid="{00000000-000D-0000-FFFF-FFFF00000000}"/>
  </bookViews>
  <sheets>
    <sheet name="SIMULADOR" sheetId="12" r:id="rId1"/>
    <sheet name="TABLA PLAN PREVENTA" sheetId="17" r:id="rId2"/>
  </sheets>
  <definedNames>
    <definedName name="_xlnm.Print_Area" localSheetId="0">SIMULADOR!$B$1:$P$31</definedName>
    <definedName name="_xlnm.Print_Area" localSheetId="1">'TABLA PLAN PREVENTA'!$A$1:$L$204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0" i="17" l="1"/>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22" i="17"/>
  <c r="K21" i="17"/>
  <c r="D11" i="12" l="1"/>
  <c r="D11" i="17" l="1"/>
  <c r="D29" i="12" l="1"/>
  <c r="D26" i="12"/>
  <c r="D22" i="12"/>
  <c r="D20" i="12"/>
  <c r="L25" i="12"/>
  <c r="D5" i="12"/>
  <c r="D25" i="12" l="1"/>
  <c r="A21" i="17"/>
  <c r="A22" i="17" s="1"/>
  <c r="H3" i="17"/>
  <c r="E10" i="17" s="1"/>
  <c r="H6" i="17"/>
  <c r="A23" i="17" l="1"/>
  <c r="J7" i="17"/>
  <c r="J6" i="17"/>
  <c r="E9" i="17"/>
  <c r="J8" i="17"/>
  <c r="J9" i="17" s="1"/>
  <c r="E8" i="17"/>
  <c r="A24" i="17" l="1"/>
  <c r="A25" i="17" l="1"/>
  <c r="N200" i="17"/>
  <c r="M200" i="17"/>
  <c r="N199" i="17"/>
  <c r="M199" i="17"/>
  <c r="N198" i="17"/>
  <c r="M198" i="17"/>
  <c r="N197" i="17"/>
  <c r="M197" i="17"/>
  <c r="N196" i="17"/>
  <c r="M196" i="17"/>
  <c r="N195" i="17"/>
  <c r="M195" i="17"/>
  <c r="N194" i="17"/>
  <c r="M194" i="17"/>
  <c r="N193" i="17"/>
  <c r="M193" i="17"/>
  <c r="N192" i="17"/>
  <c r="M192" i="17"/>
  <c r="N191" i="17"/>
  <c r="M191" i="17"/>
  <c r="N190" i="17"/>
  <c r="M190" i="17"/>
  <c r="N189" i="17"/>
  <c r="M189" i="17"/>
  <c r="N188" i="17"/>
  <c r="M188" i="17"/>
  <c r="N187" i="17"/>
  <c r="M187" i="17"/>
  <c r="N186" i="17"/>
  <c r="M186" i="17"/>
  <c r="N185" i="17"/>
  <c r="M185" i="17"/>
  <c r="N184" i="17"/>
  <c r="M184" i="17"/>
  <c r="N183" i="17"/>
  <c r="M183" i="17"/>
  <c r="N182" i="17"/>
  <c r="M182" i="17"/>
  <c r="N181" i="17"/>
  <c r="M181" i="17"/>
  <c r="N180" i="17"/>
  <c r="M180" i="17"/>
  <c r="N179" i="17"/>
  <c r="M179" i="17"/>
  <c r="N178" i="17"/>
  <c r="M178" i="17"/>
  <c r="N177" i="17"/>
  <c r="M177" i="17"/>
  <c r="N176" i="17"/>
  <c r="M176" i="17"/>
  <c r="N175" i="17"/>
  <c r="M175" i="17"/>
  <c r="N174" i="17"/>
  <c r="M174" i="17"/>
  <c r="N173" i="17"/>
  <c r="M173" i="17"/>
  <c r="N172" i="17"/>
  <c r="M172" i="17"/>
  <c r="N171" i="17"/>
  <c r="M171" i="17"/>
  <c r="N170" i="17"/>
  <c r="M170" i="17"/>
  <c r="N169" i="17"/>
  <c r="M169" i="17"/>
  <c r="N168" i="17"/>
  <c r="M168" i="17"/>
  <c r="N167" i="17"/>
  <c r="M167" i="17"/>
  <c r="N166" i="17"/>
  <c r="M166" i="17"/>
  <c r="N165" i="17"/>
  <c r="M165" i="17"/>
  <c r="N164" i="17"/>
  <c r="M164" i="17"/>
  <c r="N163" i="17"/>
  <c r="M163" i="17"/>
  <c r="N162" i="17"/>
  <c r="M162" i="17"/>
  <c r="N161" i="17"/>
  <c r="M161" i="17"/>
  <c r="N160" i="17"/>
  <c r="M160" i="17"/>
  <c r="N159" i="17"/>
  <c r="M159" i="17"/>
  <c r="N158" i="17"/>
  <c r="M158" i="17"/>
  <c r="N157" i="17"/>
  <c r="M157" i="17"/>
  <c r="N156" i="17"/>
  <c r="M156" i="17"/>
  <c r="N155" i="17"/>
  <c r="M155" i="17"/>
  <c r="N154" i="17"/>
  <c r="M154" i="17"/>
  <c r="N153" i="17"/>
  <c r="M153" i="17"/>
  <c r="N152" i="17"/>
  <c r="M152" i="17"/>
  <c r="N151" i="17"/>
  <c r="M151" i="17"/>
  <c r="N150" i="17"/>
  <c r="M150" i="17"/>
  <c r="N149" i="17"/>
  <c r="M149" i="17"/>
  <c r="N148" i="17"/>
  <c r="M148" i="17"/>
  <c r="N147" i="17"/>
  <c r="M147" i="17"/>
  <c r="N146" i="17"/>
  <c r="M146" i="17"/>
  <c r="N145" i="17"/>
  <c r="M145" i="17"/>
  <c r="N144" i="17"/>
  <c r="M144" i="17"/>
  <c r="N143" i="17"/>
  <c r="M143" i="17"/>
  <c r="N142" i="17"/>
  <c r="M142" i="17"/>
  <c r="N141" i="17"/>
  <c r="M141" i="17"/>
  <c r="N140" i="17"/>
  <c r="M140" i="17"/>
  <c r="N139" i="17"/>
  <c r="M139" i="17"/>
  <c r="N138" i="17"/>
  <c r="M138" i="17"/>
  <c r="N137" i="17"/>
  <c r="M137" i="17"/>
  <c r="N136" i="17"/>
  <c r="M136" i="17"/>
  <c r="N135" i="17"/>
  <c r="M135" i="17"/>
  <c r="N134" i="17"/>
  <c r="M134" i="17"/>
  <c r="N133" i="17"/>
  <c r="M133" i="17"/>
  <c r="N132" i="17"/>
  <c r="M132" i="17"/>
  <c r="N131" i="17"/>
  <c r="M131" i="17"/>
  <c r="N130" i="17"/>
  <c r="M130" i="17"/>
  <c r="N129" i="17"/>
  <c r="M129" i="17"/>
  <c r="N128" i="17"/>
  <c r="M128" i="17"/>
  <c r="N127" i="17"/>
  <c r="M127" i="17"/>
  <c r="N126" i="17"/>
  <c r="M126" i="17"/>
  <c r="N125" i="17"/>
  <c r="M125" i="17"/>
  <c r="N124" i="17"/>
  <c r="M124" i="17"/>
  <c r="N123" i="17"/>
  <c r="M123" i="17"/>
  <c r="N122" i="17"/>
  <c r="M122" i="17"/>
  <c r="N121" i="17"/>
  <c r="M121" i="17"/>
  <c r="N120" i="17"/>
  <c r="M120" i="17"/>
  <c r="N119" i="17"/>
  <c r="M119" i="17"/>
  <c r="N118" i="17"/>
  <c r="M118" i="17"/>
  <c r="N117" i="17"/>
  <c r="M117" i="17"/>
  <c r="N116" i="17"/>
  <c r="M116" i="17"/>
  <c r="N115" i="17"/>
  <c r="M115" i="17"/>
  <c r="N114" i="17"/>
  <c r="M114" i="17"/>
  <c r="N113" i="17"/>
  <c r="M113" i="17"/>
  <c r="N112" i="17"/>
  <c r="M112" i="17"/>
  <c r="N111" i="17"/>
  <c r="M111" i="17"/>
  <c r="N110" i="17"/>
  <c r="M110" i="17"/>
  <c r="N109" i="17"/>
  <c r="M109" i="17"/>
  <c r="N108" i="17"/>
  <c r="M108" i="17"/>
  <c r="N107" i="17"/>
  <c r="M107" i="17"/>
  <c r="N106" i="17"/>
  <c r="M106" i="17"/>
  <c r="N105" i="17"/>
  <c r="M105" i="17"/>
  <c r="N104" i="17"/>
  <c r="M104" i="17"/>
  <c r="N103" i="17"/>
  <c r="M103" i="17"/>
  <c r="N102" i="17"/>
  <c r="M102" i="17"/>
  <c r="N101" i="17"/>
  <c r="M101" i="17"/>
  <c r="N100" i="17"/>
  <c r="M100" i="17"/>
  <c r="N99" i="17"/>
  <c r="M99" i="17"/>
  <c r="N98" i="17"/>
  <c r="M98" i="17"/>
  <c r="N97" i="17"/>
  <c r="M97" i="17"/>
  <c r="N96" i="17"/>
  <c r="M96" i="17"/>
  <c r="N95" i="17"/>
  <c r="M95" i="17"/>
  <c r="N94" i="17"/>
  <c r="M94" i="17"/>
  <c r="N93" i="17"/>
  <c r="M93" i="17"/>
  <c r="N92" i="17"/>
  <c r="M92" i="17"/>
  <c r="N91" i="17"/>
  <c r="M91" i="17"/>
  <c r="N90" i="17"/>
  <c r="M90" i="17"/>
  <c r="N89" i="17"/>
  <c r="M89" i="17"/>
  <c r="N88" i="17"/>
  <c r="M88" i="17"/>
  <c r="N87" i="17"/>
  <c r="M87" i="17"/>
  <c r="N86" i="17"/>
  <c r="M86" i="17"/>
  <c r="N85" i="17"/>
  <c r="M85" i="17"/>
  <c r="N84" i="17"/>
  <c r="M84" i="17"/>
  <c r="N83" i="17"/>
  <c r="M83" i="17"/>
  <c r="N82" i="17"/>
  <c r="M82" i="17"/>
  <c r="N81" i="17"/>
  <c r="M81" i="17"/>
  <c r="N80" i="17"/>
  <c r="M80" i="17"/>
  <c r="N79" i="17"/>
  <c r="M79" i="17"/>
  <c r="N78" i="17"/>
  <c r="M78" i="17"/>
  <c r="N77" i="17"/>
  <c r="M77" i="17"/>
  <c r="N76" i="17"/>
  <c r="M76" i="17"/>
  <c r="N75" i="17"/>
  <c r="M75" i="17"/>
  <c r="N74" i="17"/>
  <c r="M74" i="17"/>
  <c r="N73" i="17"/>
  <c r="M73" i="17"/>
  <c r="N72" i="17"/>
  <c r="M72" i="17"/>
  <c r="N71" i="17"/>
  <c r="M71" i="17"/>
  <c r="N70" i="17"/>
  <c r="M70" i="17"/>
  <c r="N69" i="17"/>
  <c r="M69" i="17"/>
  <c r="N68" i="17"/>
  <c r="M68" i="17"/>
  <c r="N67" i="17"/>
  <c r="M67" i="17"/>
  <c r="N66" i="17"/>
  <c r="M66" i="17"/>
  <c r="N65" i="17"/>
  <c r="M65" i="17"/>
  <c r="N64" i="17"/>
  <c r="M64" i="17"/>
  <c r="N63" i="17"/>
  <c r="M63" i="17"/>
  <c r="N62" i="17"/>
  <c r="M62" i="17"/>
  <c r="N61" i="17"/>
  <c r="M61" i="17"/>
  <c r="N60" i="17"/>
  <c r="M60" i="17"/>
  <c r="N59" i="17"/>
  <c r="M59" i="17"/>
  <c r="N58" i="17"/>
  <c r="M58" i="17"/>
  <c r="N57" i="17"/>
  <c r="M57" i="17"/>
  <c r="N56" i="17"/>
  <c r="M56" i="17"/>
  <c r="N55" i="17"/>
  <c r="M55" i="17"/>
  <c r="N54" i="17"/>
  <c r="M54" i="17"/>
  <c r="N53" i="17"/>
  <c r="M53" i="17"/>
  <c r="N52" i="17"/>
  <c r="M52" i="17"/>
  <c r="N51" i="17"/>
  <c r="M51" i="17"/>
  <c r="N50" i="17"/>
  <c r="M50" i="17"/>
  <c r="N49" i="17"/>
  <c r="M49" i="17"/>
  <c r="N48" i="17"/>
  <c r="M48" i="17"/>
  <c r="N47" i="17"/>
  <c r="M47" i="17"/>
  <c r="N46" i="17"/>
  <c r="M46" i="17"/>
  <c r="N45" i="17"/>
  <c r="M45" i="17"/>
  <c r="N44" i="17"/>
  <c r="M44" i="17"/>
  <c r="N43" i="17"/>
  <c r="M43" i="17"/>
  <c r="N42" i="17"/>
  <c r="M42" i="17"/>
  <c r="N41" i="17"/>
  <c r="M41" i="17"/>
  <c r="N40" i="17"/>
  <c r="M40" i="17"/>
  <c r="N39" i="17"/>
  <c r="M39" i="17"/>
  <c r="N38" i="17"/>
  <c r="M38" i="17"/>
  <c r="N37" i="17"/>
  <c r="M37" i="17"/>
  <c r="N36" i="17"/>
  <c r="M36" i="17"/>
  <c r="N35" i="17"/>
  <c r="M35" i="17"/>
  <c r="N34" i="17"/>
  <c r="M34" i="17"/>
  <c r="N33" i="17"/>
  <c r="M33" i="17"/>
  <c r="N32" i="17"/>
  <c r="M32" i="17"/>
  <c r="N31" i="17"/>
  <c r="M31" i="17"/>
  <c r="N30" i="17"/>
  <c r="M30" i="17"/>
  <c r="N29" i="17"/>
  <c r="M29" i="17"/>
  <c r="N28" i="17"/>
  <c r="M28" i="17"/>
  <c r="N27" i="17"/>
  <c r="M27" i="17"/>
  <c r="N26" i="17"/>
  <c r="M26" i="17"/>
  <c r="N25" i="17"/>
  <c r="M25" i="17"/>
  <c r="N24" i="17"/>
  <c r="M24" i="17"/>
  <c r="N23" i="17"/>
  <c r="M23" i="17"/>
  <c r="N22" i="17"/>
  <c r="M22" i="17"/>
  <c r="A26" i="17" l="1"/>
  <c r="O22" i="17"/>
  <c r="O23" i="17"/>
  <c r="O24" i="17"/>
  <c r="I24" i="17" s="1"/>
  <c r="O25" i="17"/>
  <c r="I25" i="17" s="1"/>
  <c r="O26" i="17"/>
  <c r="I26" i="17" s="1"/>
  <c r="O27" i="17"/>
  <c r="I27" i="17" s="1"/>
  <c r="O28" i="17"/>
  <c r="I28" i="17" s="1"/>
  <c r="O29" i="17"/>
  <c r="I29" i="17" s="1"/>
  <c r="O30" i="17"/>
  <c r="I30" i="17" s="1"/>
  <c r="O31" i="17"/>
  <c r="I31" i="17" s="1"/>
  <c r="O32" i="17"/>
  <c r="I32" i="17" s="1"/>
  <c r="O33" i="17"/>
  <c r="I33" i="17" s="1"/>
  <c r="O34" i="17"/>
  <c r="I34" i="17" s="1"/>
  <c r="O35" i="17"/>
  <c r="I35" i="17" s="1"/>
  <c r="O36" i="17"/>
  <c r="I36" i="17" s="1"/>
  <c r="O37" i="17"/>
  <c r="I37" i="17" s="1"/>
  <c r="O38" i="17"/>
  <c r="I38" i="17" s="1"/>
  <c r="O39" i="17"/>
  <c r="I39" i="17" s="1"/>
  <c r="O40" i="17"/>
  <c r="I40" i="17" s="1"/>
  <c r="O41" i="17"/>
  <c r="I41" i="17" s="1"/>
  <c r="O42" i="17"/>
  <c r="I42" i="17" s="1"/>
  <c r="O43" i="17"/>
  <c r="I43" i="17" s="1"/>
  <c r="O44" i="17"/>
  <c r="I44" i="17" s="1"/>
  <c r="O45" i="17"/>
  <c r="I45" i="17" s="1"/>
  <c r="O46" i="17"/>
  <c r="I46" i="17" s="1"/>
  <c r="O47" i="17"/>
  <c r="I47" i="17" s="1"/>
  <c r="O48" i="17"/>
  <c r="I48" i="17" s="1"/>
  <c r="O49" i="17"/>
  <c r="I49" i="17" s="1"/>
  <c r="O50" i="17"/>
  <c r="I50" i="17" s="1"/>
  <c r="O51" i="17"/>
  <c r="I51" i="17" s="1"/>
  <c r="O52" i="17"/>
  <c r="I52" i="17" s="1"/>
  <c r="O53" i="17"/>
  <c r="I53" i="17" s="1"/>
  <c r="O54" i="17"/>
  <c r="I54" i="17" s="1"/>
  <c r="O55" i="17"/>
  <c r="I55" i="17" s="1"/>
  <c r="O56" i="17"/>
  <c r="I56" i="17" s="1"/>
  <c r="O57" i="17"/>
  <c r="I57" i="17" s="1"/>
  <c r="O58" i="17"/>
  <c r="I58" i="17" s="1"/>
  <c r="O59" i="17"/>
  <c r="I59" i="17" s="1"/>
  <c r="O60" i="17"/>
  <c r="I60" i="17" s="1"/>
  <c r="O61" i="17"/>
  <c r="I61" i="17" s="1"/>
  <c r="O62" i="17"/>
  <c r="I62" i="17" s="1"/>
  <c r="O63" i="17"/>
  <c r="I63" i="17" s="1"/>
  <c r="O64" i="17"/>
  <c r="I64" i="17" s="1"/>
  <c r="O65" i="17"/>
  <c r="I65" i="17" s="1"/>
  <c r="O66" i="17"/>
  <c r="I66" i="17" s="1"/>
  <c r="O67" i="17"/>
  <c r="I67" i="17" s="1"/>
  <c r="O68" i="17"/>
  <c r="I68" i="17" s="1"/>
  <c r="O69" i="17"/>
  <c r="I69" i="17" s="1"/>
  <c r="O70" i="17"/>
  <c r="I70" i="17" s="1"/>
  <c r="O71" i="17"/>
  <c r="I71" i="17" s="1"/>
  <c r="O72" i="17"/>
  <c r="I72" i="17" s="1"/>
  <c r="O73" i="17"/>
  <c r="I73" i="17" s="1"/>
  <c r="O74" i="17"/>
  <c r="I74" i="17" s="1"/>
  <c r="O75" i="17"/>
  <c r="I75" i="17" s="1"/>
  <c r="O76" i="17"/>
  <c r="I76" i="17" s="1"/>
  <c r="O77" i="17"/>
  <c r="I77" i="17" s="1"/>
  <c r="O78" i="17"/>
  <c r="I78" i="17" s="1"/>
  <c r="O79" i="17"/>
  <c r="I79" i="17" s="1"/>
  <c r="O80" i="17"/>
  <c r="I80" i="17" s="1"/>
  <c r="O81" i="17"/>
  <c r="I81" i="17" s="1"/>
  <c r="O82" i="17"/>
  <c r="I82" i="17" s="1"/>
  <c r="O83" i="17"/>
  <c r="I83" i="17" s="1"/>
  <c r="O84" i="17"/>
  <c r="I84" i="17" s="1"/>
  <c r="O85" i="17"/>
  <c r="I85" i="17" s="1"/>
  <c r="O86" i="17"/>
  <c r="I86" i="17" s="1"/>
  <c r="O87" i="17"/>
  <c r="I87" i="17" s="1"/>
  <c r="O88" i="17"/>
  <c r="I88" i="17" s="1"/>
  <c r="O89" i="17"/>
  <c r="I89" i="17" s="1"/>
  <c r="O90" i="17"/>
  <c r="I90" i="17" s="1"/>
  <c r="O91" i="17"/>
  <c r="I91" i="17" s="1"/>
  <c r="O92" i="17"/>
  <c r="I92" i="17" s="1"/>
  <c r="O93" i="17"/>
  <c r="I93" i="17" s="1"/>
  <c r="O94" i="17"/>
  <c r="I94" i="17" s="1"/>
  <c r="O95" i="17"/>
  <c r="I95" i="17" s="1"/>
  <c r="O96" i="17"/>
  <c r="I96" i="17" s="1"/>
  <c r="O97" i="17"/>
  <c r="I97" i="17" s="1"/>
  <c r="O98" i="17"/>
  <c r="I98" i="17" s="1"/>
  <c r="O99" i="17"/>
  <c r="I99" i="17" s="1"/>
  <c r="O100" i="17"/>
  <c r="I100" i="17" s="1"/>
  <c r="O101" i="17"/>
  <c r="I101" i="17" s="1"/>
  <c r="O102" i="17"/>
  <c r="I102" i="17" s="1"/>
  <c r="O103" i="17"/>
  <c r="I103" i="17" s="1"/>
  <c r="O104" i="17"/>
  <c r="I104" i="17" s="1"/>
  <c r="O105" i="17"/>
  <c r="I105" i="17" s="1"/>
  <c r="O106" i="17"/>
  <c r="I106" i="17" s="1"/>
  <c r="O107" i="17"/>
  <c r="I107" i="17" s="1"/>
  <c r="O108" i="17"/>
  <c r="I108" i="17" s="1"/>
  <c r="O109" i="17"/>
  <c r="I109" i="17" s="1"/>
  <c r="O110" i="17"/>
  <c r="I110" i="17" s="1"/>
  <c r="O111" i="17"/>
  <c r="I111" i="17" s="1"/>
  <c r="O112" i="17"/>
  <c r="I112" i="17" s="1"/>
  <c r="O113" i="17"/>
  <c r="I113" i="17" s="1"/>
  <c r="O114" i="17"/>
  <c r="I114" i="17" s="1"/>
  <c r="O115" i="17"/>
  <c r="I115" i="17" s="1"/>
  <c r="O116" i="17"/>
  <c r="I116" i="17" s="1"/>
  <c r="O117" i="17"/>
  <c r="I117" i="17" s="1"/>
  <c r="O118" i="17"/>
  <c r="I118" i="17" s="1"/>
  <c r="O119" i="17"/>
  <c r="I119" i="17" s="1"/>
  <c r="O120" i="17"/>
  <c r="I120" i="17" s="1"/>
  <c r="O121" i="17"/>
  <c r="I121" i="17" s="1"/>
  <c r="O122" i="17"/>
  <c r="I122" i="17" s="1"/>
  <c r="O123" i="17"/>
  <c r="I123" i="17" s="1"/>
  <c r="O124" i="17"/>
  <c r="I124" i="17" s="1"/>
  <c r="O125" i="17"/>
  <c r="I125" i="17" s="1"/>
  <c r="O126" i="17"/>
  <c r="I126" i="17" s="1"/>
  <c r="O127" i="17"/>
  <c r="I127" i="17" s="1"/>
  <c r="O128" i="17"/>
  <c r="I128" i="17" s="1"/>
  <c r="O129" i="17"/>
  <c r="I129" i="17" s="1"/>
  <c r="O130" i="17"/>
  <c r="I130" i="17" s="1"/>
  <c r="O131" i="17"/>
  <c r="I131" i="17" s="1"/>
  <c r="O132" i="17"/>
  <c r="I132" i="17" s="1"/>
  <c r="O133" i="17"/>
  <c r="I133" i="17" s="1"/>
  <c r="O134" i="17"/>
  <c r="I134" i="17" s="1"/>
  <c r="O135" i="17"/>
  <c r="I135" i="17" s="1"/>
  <c r="O136" i="17"/>
  <c r="I136" i="17" s="1"/>
  <c r="O137" i="17"/>
  <c r="I137" i="17" s="1"/>
  <c r="O138" i="17"/>
  <c r="I138" i="17" s="1"/>
  <c r="O139" i="17"/>
  <c r="I139" i="17" s="1"/>
  <c r="O140" i="17"/>
  <c r="I140" i="17" s="1"/>
  <c r="O141" i="17"/>
  <c r="I141" i="17" s="1"/>
  <c r="O142" i="17"/>
  <c r="I142" i="17" s="1"/>
  <c r="O143" i="17"/>
  <c r="I143" i="17" s="1"/>
  <c r="O144" i="17"/>
  <c r="I144" i="17" s="1"/>
  <c r="O145" i="17"/>
  <c r="I145" i="17" s="1"/>
  <c r="O146" i="17"/>
  <c r="I146" i="17" s="1"/>
  <c r="O147" i="17"/>
  <c r="I147" i="17" s="1"/>
  <c r="O148" i="17"/>
  <c r="I148" i="17" s="1"/>
  <c r="O149" i="17"/>
  <c r="I149" i="17" s="1"/>
  <c r="O150" i="17"/>
  <c r="I150" i="17" s="1"/>
  <c r="O151" i="17"/>
  <c r="I151" i="17" s="1"/>
  <c r="O152" i="17"/>
  <c r="I152" i="17" s="1"/>
  <c r="O153" i="17"/>
  <c r="I153" i="17" s="1"/>
  <c r="O154" i="17"/>
  <c r="I154" i="17" s="1"/>
  <c r="O155" i="17"/>
  <c r="I155" i="17" s="1"/>
  <c r="O156" i="17"/>
  <c r="I156" i="17" s="1"/>
  <c r="O157" i="17"/>
  <c r="I157" i="17" s="1"/>
  <c r="O158" i="17"/>
  <c r="I158" i="17" s="1"/>
  <c r="O159" i="17"/>
  <c r="I159" i="17" s="1"/>
  <c r="O160" i="17"/>
  <c r="I160" i="17" s="1"/>
  <c r="O161" i="17"/>
  <c r="I161" i="17" s="1"/>
  <c r="O162" i="17"/>
  <c r="I162" i="17" s="1"/>
  <c r="O163" i="17"/>
  <c r="I163" i="17" s="1"/>
  <c r="O164" i="17"/>
  <c r="I164" i="17" s="1"/>
  <c r="O165" i="17"/>
  <c r="I165" i="17" s="1"/>
  <c r="O166" i="17"/>
  <c r="I166" i="17" s="1"/>
  <c r="O167" i="17"/>
  <c r="I167" i="17" s="1"/>
  <c r="O168" i="17"/>
  <c r="I168" i="17" s="1"/>
  <c r="O169" i="17"/>
  <c r="I169" i="17" s="1"/>
  <c r="O170" i="17"/>
  <c r="I170" i="17" s="1"/>
  <c r="O171" i="17"/>
  <c r="I171" i="17" s="1"/>
  <c r="O172" i="17"/>
  <c r="I172" i="17" s="1"/>
  <c r="O173" i="17"/>
  <c r="I173" i="17" s="1"/>
  <c r="O174" i="17"/>
  <c r="I174" i="17" s="1"/>
  <c r="O175" i="17"/>
  <c r="I175" i="17" s="1"/>
  <c r="O176" i="17"/>
  <c r="I176" i="17" s="1"/>
  <c r="O177" i="17"/>
  <c r="I177" i="17" s="1"/>
  <c r="O178" i="17"/>
  <c r="I178" i="17" s="1"/>
  <c r="O179" i="17"/>
  <c r="I179" i="17" s="1"/>
  <c r="O180" i="17"/>
  <c r="I180" i="17" s="1"/>
  <c r="O181" i="17"/>
  <c r="I181" i="17" s="1"/>
  <c r="O182" i="17"/>
  <c r="I182" i="17" s="1"/>
  <c r="O183" i="17"/>
  <c r="I183" i="17" s="1"/>
  <c r="O184" i="17"/>
  <c r="I184" i="17" s="1"/>
  <c r="O185" i="17"/>
  <c r="I185" i="17" s="1"/>
  <c r="O186" i="17"/>
  <c r="I186" i="17" s="1"/>
  <c r="O187" i="17"/>
  <c r="I187" i="17" s="1"/>
  <c r="O188" i="17"/>
  <c r="I188" i="17" s="1"/>
  <c r="O189" i="17"/>
  <c r="I189" i="17" s="1"/>
  <c r="O190" i="17"/>
  <c r="I190" i="17" s="1"/>
  <c r="O191" i="17"/>
  <c r="I191" i="17" s="1"/>
  <c r="O192" i="17"/>
  <c r="I192" i="17" s="1"/>
  <c r="O193" i="17"/>
  <c r="I193" i="17" s="1"/>
  <c r="O194" i="17"/>
  <c r="I194" i="17" s="1"/>
  <c r="O195" i="17"/>
  <c r="I195" i="17" s="1"/>
  <c r="O196" i="17"/>
  <c r="I196" i="17" s="1"/>
  <c r="O197" i="17"/>
  <c r="I197" i="17" s="1"/>
  <c r="O198" i="17"/>
  <c r="I198" i="17" s="1"/>
  <c r="O199" i="17"/>
  <c r="I199" i="17" s="1"/>
  <c r="O200" i="17"/>
  <c r="I200" i="17" s="1"/>
  <c r="I23" i="17" l="1"/>
  <c r="I22" i="17"/>
  <c r="A27" i="17"/>
  <c r="Q38" i="17"/>
  <c r="A28" i="17" l="1"/>
  <c r="A29" i="17" l="1"/>
  <c r="A30" i="17" l="1"/>
  <c r="A31" i="17" l="1"/>
  <c r="A32" i="17" l="1"/>
  <c r="A33" i="17" l="1"/>
  <c r="A34" i="17" l="1"/>
  <c r="A35" i="17" l="1"/>
  <c r="A36" i="17" s="1"/>
  <c r="A37" i="17" l="1"/>
  <c r="A38" i="17" l="1"/>
  <c r="A39" i="17" l="1"/>
  <c r="A40" i="17" l="1"/>
  <c r="A41" i="17" l="1"/>
  <c r="A42" i="17" l="1"/>
  <c r="A43" i="17" l="1"/>
  <c r="A44" i="17" l="1"/>
  <c r="A45" i="17" l="1"/>
  <c r="A46" i="17" l="1"/>
  <c r="A47" i="17" l="1"/>
  <c r="A48" i="17" l="1"/>
  <c r="A49" i="17" l="1"/>
  <c r="A50" i="17" l="1"/>
  <c r="A51" i="17" l="1"/>
  <c r="A52" i="17" l="1"/>
  <c r="A53" i="17" l="1"/>
  <c r="A54" i="17" l="1"/>
  <c r="A55" i="17" l="1"/>
  <c r="A56" i="17" l="1"/>
  <c r="A57" i="17" l="1"/>
  <c r="A58" i="17" l="1"/>
  <c r="A59" i="17" l="1"/>
  <c r="A60" i="17" l="1"/>
  <c r="D3" i="17"/>
  <c r="G21" i="17"/>
  <c r="G22" i="17" s="1"/>
  <c r="G23" i="17" s="1"/>
  <c r="D9" i="17"/>
  <c r="D6" i="17"/>
  <c r="H23" i="17" l="1"/>
  <c r="G24" i="17"/>
  <c r="H24" i="17" s="1"/>
  <c r="D14" i="17"/>
  <c r="D13" i="17"/>
  <c r="A61" i="17"/>
  <c r="D12" i="17"/>
  <c r="C21" i="17"/>
  <c r="D21" i="17"/>
  <c r="E21" i="17" s="1"/>
  <c r="G25" i="17" l="1"/>
  <c r="H25" i="17" s="1"/>
  <c r="A62" i="17"/>
  <c r="D22" i="17"/>
  <c r="E22" i="17" s="1"/>
  <c r="F22" i="17" s="1"/>
  <c r="C22" i="17"/>
  <c r="F21" i="17"/>
  <c r="C23" i="17"/>
  <c r="D23" i="17"/>
  <c r="E23" i="17" s="1"/>
  <c r="K23" i="17" l="1"/>
  <c r="L22" i="17"/>
  <c r="H9" i="17" s="1"/>
  <c r="L21" i="17"/>
  <c r="H8" i="17" s="1"/>
  <c r="G26" i="17"/>
  <c r="G27" i="17" s="1"/>
  <c r="G28" i="17" s="1"/>
  <c r="G29" i="17" s="1"/>
  <c r="G30" i="17" s="1"/>
  <c r="G31" i="17" s="1"/>
  <c r="G32" i="17" s="1"/>
  <c r="G33" i="17" s="1"/>
  <c r="G34" i="17" s="1"/>
  <c r="G35" i="17" s="1"/>
  <c r="G36" i="17" s="1"/>
  <c r="G37" i="17" s="1"/>
  <c r="G38" i="17" s="1"/>
  <c r="G39" i="17" s="1"/>
  <c r="G40" i="17" s="1"/>
  <c r="G41" i="17" s="1"/>
  <c r="G42" i="17" s="1"/>
  <c r="G43" i="17" s="1"/>
  <c r="G44" i="17" s="1"/>
  <c r="G45" i="17" s="1"/>
  <c r="G46" i="17" s="1"/>
  <c r="G47" i="17" s="1"/>
  <c r="G48" i="17" s="1"/>
  <c r="G49" i="17" s="1"/>
  <c r="G50" i="17" s="1"/>
  <c r="G51" i="17" s="1"/>
  <c r="G52" i="17" s="1"/>
  <c r="G53" i="17" s="1"/>
  <c r="G54" i="17" s="1"/>
  <c r="G55" i="17" s="1"/>
  <c r="G56" i="17" s="1"/>
  <c r="G57" i="17" s="1"/>
  <c r="G58" i="17" s="1"/>
  <c r="G59" i="17" s="1"/>
  <c r="G60" i="17" s="1"/>
  <c r="G61" i="17" s="1"/>
  <c r="G62" i="17" s="1"/>
  <c r="A63" i="17"/>
  <c r="F23" i="17"/>
  <c r="D24" i="17"/>
  <c r="E24" i="17" s="1"/>
  <c r="C24" i="17"/>
  <c r="L23" i="17" l="1"/>
  <c r="H26" i="17"/>
  <c r="K24" i="17"/>
  <c r="G63" i="17"/>
  <c r="A64" i="17"/>
  <c r="G64" i="17" s="1"/>
  <c r="F24" i="17"/>
  <c r="D25" i="17"/>
  <c r="E25" i="17" s="1"/>
  <c r="C25" i="17"/>
  <c r="K25" i="17" l="1"/>
  <c r="L24" i="17"/>
  <c r="A65" i="17"/>
  <c r="G65" i="17" s="1"/>
  <c r="F25" i="17"/>
  <c r="C26" i="17"/>
  <c r="D26" i="17"/>
  <c r="E26" i="17" s="1"/>
  <c r="K26" i="17" l="1"/>
  <c r="L25" i="17"/>
  <c r="A66" i="17"/>
  <c r="G66" i="17" s="1"/>
  <c r="F26" i="17"/>
  <c r="H27" i="17"/>
  <c r="D27" i="17"/>
  <c r="E27" i="17" s="1"/>
  <c r="C27" i="17"/>
  <c r="K27" i="17" l="1"/>
  <c r="L26" i="17"/>
  <c r="A67" i="17"/>
  <c r="G67" i="17" s="1"/>
  <c r="F27" i="17"/>
  <c r="H28" i="17"/>
  <c r="D28" i="17"/>
  <c r="E28" i="17" s="1"/>
  <c r="C28" i="17"/>
  <c r="K28" i="17" l="1"/>
  <c r="L27" i="17"/>
  <c r="A68" i="17"/>
  <c r="G68" i="17" s="1"/>
  <c r="F28" i="17"/>
  <c r="H29" i="17"/>
  <c r="D29" i="17"/>
  <c r="E29" i="17" s="1"/>
  <c r="C29" i="17"/>
  <c r="K29" i="17" s="1"/>
  <c r="L28" i="17" l="1"/>
  <c r="A69" i="17"/>
  <c r="G69" i="17" s="1"/>
  <c r="F29" i="17"/>
  <c r="H30" i="17"/>
  <c r="C30" i="17"/>
  <c r="D30" i="17"/>
  <c r="E30" i="17" s="1"/>
  <c r="K30" i="17" l="1"/>
  <c r="L29" i="17"/>
  <c r="A70" i="17"/>
  <c r="G70" i="17" s="1"/>
  <c r="F30" i="17"/>
  <c r="H31" i="17"/>
  <c r="D31" i="17"/>
  <c r="E31" i="17" s="1"/>
  <c r="C31" i="17"/>
  <c r="K31" i="17" s="1"/>
  <c r="L30" i="17" l="1"/>
  <c r="A71" i="17"/>
  <c r="G71" i="17" s="1"/>
  <c r="F31" i="17"/>
  <c r="H32" i="17"/>
  <c r="C32" i="17"/>
  <c r="D32" i="17"/>
  <c r="E32" i="17" s="1"/>
  <c r="K32" i="17" l="1"/>
  <c r="L31" i="17"/>
  <c r="A72" i="17"/>
  <c r="G72" i="17" s="1"/>
  <c r="F32" i="17"/>
  <c r="H33" i="17"/>
  <c r="D33" i="17"/>
  <c r="E33" i="17" s="1"/>
  <c r="C33" i="17"/>
  <c r="K33" i="17" s="1"/>
  <c r="L32" i="17" l="1"/>
  <c r="A73" i="17"/>
  <c r="G73" i="17" s="1"/>
  <c r="F33" i="17"/>
  <c r="H34" i="17"/>
  <c r="C34" i="17"/>
  <c r="D34" i="17"/>
  <c r="E34" i="17" s="1"/>
  <c r="K34" i="17" l="1"/>
  <c r="L33" i="17"/>
  <c r="A74" i="17"/>
  <c r="G74" i="17" s="1"/>
  <c r="F34" i="17"/>
  <c r="H35" i="17"/>
  <c r="D35" i="17"/>
  <c r="E35" i="17" s="1"/>
  <c r="C35" i="17"/>
  <c r="K35" i="17" l="1"/>
  <c r="L34" i="17"/>
  <c r="A75" i="17"/>
  <c r="G75" i="17" s="1"/>
  <c r="F35" i="17"/>
  <c r="H36" i="17"/>
  <c r="C36" i="17"/>
  <c r="D36" i="17"/>
  <c r="E36" i="17" s="1"/>
  <c r="K36" i="17" l="1"/>
  <c r="L35" i="17"/>
  <c r="A76" i="17"/>
  <c r="G76" i="17" s="1"/>
  <c r="F36" i="17"/>
  <c r="H37" i="17"/>
  <c r="C37" i="17"/>
  <c r="D37" i="17"/>
  <c r="E37" i="17" s="1"/>
  <c r="K37" i="17" l="1"/>
  <c r="L36" i="17"/>
  <c r="A77" i="17"/>
  <c r="G77" i="17" s="1"/>
  <c r="F37" i="17"/>
  <c r="H38" i="17"/>
  <c r="D38" i="17"/>
  <c r="E38" i="17" s="1"/>
  <c r="C38" i="17"/>
  <c r="K38" i="17" l="1"/>
  <c r="L37" i="17"/>
  <c r="A78" i="17"/>
  <c r="G78" i="17" s="1"/>
  <c r="F38" i="17"/>
  <c r="H39" i="17"/>
  <c r="D39" i="17"/>
  <c r="E39" i="17" s="1"/>
  <c r="C39" i="17"/>
  <c r="K39" i="17" s="1"/>
  <c r="L38" i="17" l="1"/>
  <c r="A79" i="17"/>
  <c r="G79" i="17" s="1"/>
  <c r="F39" i="17"/>
  <c r="H40" i="17"/>
  <c r="C40" i="17"/>
  <c r="D40" i="17"/>
  <c r="E40" i="17" s="1"/>
  <c r="K40" i="17" l="1"/>
  <c r="L39" i="17"/>
  <c r="A80" i="17"/>
  <c r="G80" i="17" s="1"/>
  <c r="F40" i="17"/>
  <c r="H41" i="17"/>
  <c r="D41" i="17"/>
  <c r="E41" i="17" s="1"/>
  <c r="C41" i="17"/>
  <c r="K41" i="17" s="1"/>
  <c r="L40" i="17" l="1"/>
  <c r="A81" i="17"/>
  <c r="G81" i="17" s="1"/>
  <c r="F41" i="17"/>
  <c r="H42" i="17"/>
  <c r="C42" i="17"/>
  <c r="D42" i="17"/>
  <c r="E42" i="17" s="1"/>
  <c r="K42" i="17" l="1"/>
  <c r="L41" i="17"/>
  <c r="A82" i="17"/>
  <c r="G82" i="17" s="1"/>
  <c r="F42" i="17"/>
  <c r="H43" i="17"/>
  <c r="C43" i="17"/>
  <c r="D43" i="17"/>
  <c r="E43" i="17" s="1"/>
  <c r="K43" i="17" l="1"/>
  <c r="L42" i="17"/>
  <c r="A83" i="17"/>
  <c r="G83" i="17" s="1"/>
  <c r="F43" i="17"/>
  <c r="H44" i="17"/>
  <c r="D44" i="17"/>
  <c r="E44" i="17" s="1"/>
  <c r="C44" i="17"/>
  <c r="K44" i="17" s="1"/>
  <c r="L43" i="17" l="1"/>
  <c r="A84" i="17"/>
  <c r="G84" i="17" s="1"/>
  <c r="F44" i="17"/>
  <c r="H45" i="17"/>
  <c r="C45" i="17"/>
  <c r="D45" i="17"/>
  <c r="E45" i="17" s="1"/>
  <c r="K45" i="17" l="1"/>
  <c r="L44" i="17"/>
  <c r="A85" i="17"/>
  <c r="G85" i="17" s="1"/>
  <c r="F45" i="17"/>
  <c r="H46" i="17"/>
  <c r="C46" i="17"/>
  <c r="D46" i="17"/>
  <c r="E46" i="17" s="1"/>
  <c r="K46" i="17" l="1"/>
  <c r="L45" i="17"/>
  <c r="A86" i="17"/>
  <c r="G86" i="17" s="1"/>
  <c r="F46" i="17"/>
  <c r="H47" i="17"/>
  <c r="D47" i="17"/>
  <c r="E47" i="17" s="1"/>
  <c r="C47" i="17"/>
  <c r="K47" i="17" s="1"/>
  <c r="L46" i="17" l="1"/>
  <c r="A87" i="17"/>
  <c r="G87" i="17" s="1"/>
  <c r="F47" i="17"/>
  <c r="H48" i="17"/>
  <c r="D48" i="17"/>
  <c r="E48" i="17" s="1"/>
  <c r="C48" i="17"/>
  <c r="K48" i="17" s="1"/>
  <c r="L47" i="17" l="1"/>
  <c r="A88" i="17"/>
  <c r="G88" i="17" s="1"/>
  <c r="F48" i="17"/>
  <c r="H49" i="17"/>
  <c r="C49" i="17"/>
  <c r="D49" i="17"/>
  <c r="E49" i="17" s="1"/>
  <c r="L29" i="12"/>
  <c r="L30" i="12" s="1"/>
  <c r="D30" i="12"/>
  <c r="L26" i="12"/>
  <c r="L22" i="12"/>
  <c r="L20" i="12"/>
  <c r="D7" i="17"/>
  <c r="D16" i="12"/>
  <c r="L16" i="12"/>
  <c r="K49" i="17" l="1"/>
  <c r="L48" i="17"/>
  <c r="D8" i="17"/>
  <c r="A89" i="17"/>
  <c r="G89" i="17" s="1"/>
  <c r="F49" i="17"/>
  <c r="H50" i="17"/>
  <c r="C50" i="17"/>
  <c r="D50" i="17"/>
  <c r="E50" i="17" s="1"/>
  <c r="H7" i="17"/>
  <c r="L27" i="12"/>
  <c r="D27" i="12"/>
  <c r="D28" i="12" s="1"/>
  <c r="K50" i="17" l="1"/>
  <c r="L49" i="17"/>
  <c r="A90" i="17"/>
  <c r="G90" i="17" s="1"/>
  <c r="L28" i="12"/>
  <c r="F50" i="17"/>
  <c r="H51" i="17"/>
  <c r="D51" i="17"/>
  <c r="E51" i="17" s="1"/>
  <c r="C51" i="17"/>
  <c r="K51" i="17" l="1"/>
  <c r="L50" i="17"/>
  <c r="A91" i="17"/>
  <c r="G91" i="17" s="1"/>
  <c r="F51" i="17"/>
  <c r="H52" i="17"/>
  <c r="C52" i="17"/>
  <c r="D52" i="17"/>
  <c r="E52" i="17" s="1"/>
  <c r="D31" i="12"/>
  <c r="L31" i="12"/>
  <c r="K52" i="17" l="1"/>
  <c r="L51" i="17"/>
  <c r="D10" i="17"/>
  <c r="A92" i="17"/>
  <c r="G92" i="17" s="1"/>
  <c r="F52" i="17"/>
  <c r="H53" i="17"/>
  <c r="D53" i="17"/>
  <c r="E53" i="17" s="1"/>
  <c r="C53" i="17"/>
  <c r="K53" i="17" s="1"/>
  <c r="L52" i="17" l="1"/>
  <c r="A93" i="17"/>
  <c r="G93" i="17" s="1"/>
  <c r="F53" i="17"/>
  <c r="H54" i="17"/>
  <c r="C54" i="17"/>
  <c r="D54" i="17"/>
  <c r="E54" i="17" s="1"/>
  <c r="L53" i="17" l="1"/>
  <c r="A94" i="17"/>
  <c r="G94" i="17" s="1"/>
  <c r="F54" i="17"/>
  <c r="H55" i="17"/>
  <c r="C55" i="17"/>
  <c r="D55" i="17"/>
  <c r="E55" i="17" s="1"/>
  <c r="L54" i="17" l="1"/>
  <c r="A95" i="17"/>
  <c r="G95" i="17" s="1"/>
  <c r="F55" i="17"/>
  <c r="H56" i="17"/>
  <c r="D56" i="17"/>
  <c r="E56" i="17" s="1"/>
  <c r="C56" i="17"/>
  <c r="L55" i="17" l="1"/>
  <c r="A96" i="17"/>
  <c r="G96" i="17" s="1"/>
  <c r="F56" i="17"/>
  <c r="H57" i="17"/>
  <c r="D57" i="17"/>
  <c r="E57" i="17" s="1"/>
  <c r="C57" i="17"/>
  <c r="L56" i="17" l="1"/>
  <c r="A97" i="17"/>
  <c r="G97" i="17" s="1"/>
  <c r="F57" i="17"/>
  <c r="H58" i="17"/>
  <c r="C58" i="17"/>
  <c r="D58" i="17"/>
  <c r="E58" i="17" s="1"/>
  <c r="L57" i="17" l="1"/>
  <c r="A98" i="17"/>
  <c r="G98" i="17" s="1"/>
  <c r="F58" i="17"/>
  <c r="H59" i="17"/>
  <c r="D59" i="17"/>
  <c r="E59" i="17" s="1"/>
  <c r="C59" i="17"/>
  <c r="L58" i="17" l="1"/>
  <c r="A99" i="17"/>
  <c r="G99" i="17" s="1"/>
  <c r="F59" i="17"/>
  <c r="H60" i="17"/>
  <c r="C60" i="17"/>
  <c r="D60" i="17"/>
  <c r="E60" i="17" s="1"/>
  <c r="L59" i="17" l="1"/>
  <c r="A100" i="17"/>
  <c r="G100" i="17" s="1"/>
  <c r="F60" i="17"/>
  <c r="H61" i="17"/>
  <c r="D61" i="17"/>
  <c r="E61" i="17" s="1"/>
  <c r="C61" i="17"/>
  <c r="L60" i="17" l="1"/>
  <c r="A101" i="17"/>
  <c r="G101" i="17" s="1"/>
  <c r="F61" i="17"/>
  <c r="H62" i="17"/>
  <c r="D62" i="17"/>
  <c r="E62" i="17" s="1"/>
  <c r="C62" i="17"/>
  <c r="L61" i="17" l="1"/>
  <c r="A102" i="17"/>
  <c r="G102" i="17" s="1"/>
  <c r="F62" i="17"/>
  <c r="H63" i="17"/>
  <c r="D63" i="17"/>
  <c r="E63" i="17" s="1"/>
  <c r="C63" i="17"/>
  <c r="L62" i="17" l="1"/>
  <c r="A103" i="17"/>
  <c r="G103" i="17" s="1"/>
  <c r="F63" i="17"/>
  <c r="H64" i="17"/>
  <c r="D64" i="17"/>
  <c r="E64" i="17" s="1"/>
  <c r="C64" i="17"/>
  <c r="L63" i="17" l="1"/>
  <c r="A104" i="17"/>
  <c r="G104" i="17" s="1"/>
  <c r="F64" i="17"/>
  <c r="H65" i="17"/>
  <c r="D65" i="17"/>
  <c r="E65" i="17" s="1"/>
  <c r="C65" i="17"/>
  <c r="L64" i="17" l="1"/>
  <c r="A105" i="17"/>
  <c r="G105" i="17" s="1"/>
  <c r="F65" i="17"/>
  <c r="H66" i="17"/>
  <c r="C66" i="17"/>
  <c r="D66" i="17"/>
  <c r="E66" i="17" s="1"/>
  <c r="L65" i="17" l="1"/>
  <c r="A106" i="17"/>
  <c r="G106" i="17" s="1"/>
  <c r="F66" i="17"/>
  <c r="H67" i="17"/>
  <c r="C67" i="17"/>
  <c r="D67" i="17"/>
  <c r="E67" i="17" s="1"/>
  <c r="L66" i="17" l="1"/>
  <c r="A107" i="17"/>
  <c r="G107" i="17" s="1"/>
  <c r="F67" i="17"/>
  <c r="D69" i="17"/>
  <c r="E69" i="17" s="1"/>
  <c r="H68" i="17"/>
  <c r="D68" i="17"/>
  <c r="E68" i="17" s="1"/>
  <c r="C68" i="17"/>
  <c r="L67" i="17" l="1"/>
  <c r="A108" i="17"/>
  <c r="G108" i="17" s="1"/>
  <c r="D70" i="17"/>
  <c r="E70" i="17" s="1"/>
  <c r="F69" i="17"/>
  <c r="H69" i="17"/>
  <c r="C69" i="17"/>
  <c r="F68" i="17"/>
  <c r="L68" i="17" l="1"/>
  <c r="L69" i="17"/>
  <c r="A109" i="17"/>
  <c r="G109" i="17" s="1"/>
  <c r="C70" i="17"/>
  <c r="H70" i="17"/>
  <c r="F70" i="17"/>
  <c r="H71" i="17"/>
  <c r="C71" i="17"/>
  <c r="D71" i="17"/>
  <c r="E71" i="17" s="1"/>
  <c r="L70" i="17" l="1"/>
  <c r="A110" i="17"/>
  <c r="G110" i="17" s="1"/>
  <c r="F71" i="17"/>
  <c r="H72" i="17"/>
  <c r="C72" i="17"/>
  <c r="D72" i="17"/>
  <c r="E72" i="17" s="1"/>
  <c r="L71" i="17" l="1"/>
  <c r="A111" i="17"/>
  <c r="G111" i="17" s="1"/>
  <c r="F72" i="17"/>
  <c r="H73" i="17"/>
  <c r="D73" i="17"/>
  <c r="E73" i="17" s="1"/>
  <c r="C73" i="17"/>
  <c r="L72" i="17" l="1"/>
  <c r="A112" i="17"/>
  <c r="G112" i="17" s="1"/>
  <c r="F73" i="17"/>
  <c r="H74" i="17"/>
  <c r="C74" i="17"/>
  <c r="D74" i="17"/>
  <c r="E74" i="17" s="1"/>
  <c r="L73" i="17" l="1"/>
  <c r="A113" i="17"/>
  <c r="G113" i="17" s="1"/>
  <c r="F74" i="17"/>
  <c r="H75" i="17"/>
  <c r="C75" i="17"/>
  <c r="D75" i="17"/>
  <c r="E75" i="17" s="1"/>
  <c r="L74" i="17" l="1"/>
  <c r="A114" i="17"/>
  <c r="G114" i="17" s="1"/>
  <c r="F75" i="17"/>
  <c r="H76" i="17"/>
  <c r="C76" i="17"/>
  <c r="D76" i="17"/>
  <c r="E76" i="17" s="1"/>
  <c r="L75" i="17" l="1"/>
  <c r="A115" i="17"/>
  <c r="G115" i="17" s="1"/>
  <c r="F76" i="17"/>
  <c r="H77" i="17"/>
  <c r="C77" i="17"/>
  <c r="D77" i="17"/>
  <c r="E77" i="17" s="1"/>
  <c r="L76" i="17" l="1"/>
  <c r="A116" i="17"/>
  <c r="G116" i="17" s="1"/>
  <c r="F77" i="17"/>
  <c r="H78" i="17"/>
  <c r="D78" i="17"/>
  <c r="E78" i="17" s="1"/>
  <c r="C78" i="17"/>
  <c r="L77" i="17" l="1"/>
  <c r="A117" i="17"/>
  <c r="G117" i="17" s="1"/>
  <c r="F78" i="17"/>
  <c r="H79" i="17"/>
  <c r="D79" i="17"/>
  <c r="E79" i="17" s="1"/>
  <c r="C79" i="17"/>
  <c r="L78" i="17" l="1"/>
  <c r="A118" i="17"/>
  <c r="G118" i="17" s="1"/>
  <c r="F79" i="17"/>
  <c r="H80" i="17"/>
  <c r="C80" i="17"/>
  <c r="D80" i="17"/>
  <c r="E80" i="17" s="1"/>
  <c r="L79" i="17" l="1"/>
  <c r="A119" i="17"/>
  <c r="G119" i="17" s="1"/>
  <c r="F80" i="17"/>
  <c r="H81" i="17"/>
  <c r="D81" i="17"/>
  <c r="E81" i="17" s="1"/>
  <c r="C81" i="17"/>
  <c r="L80" i="17" l="1"/>
  <c r="A120" i="17"/>
  <c r="G120" i="17" s="1"/>
  <c r="F81" i="17"/>
  <c r="H82" i="17"/>
  <c r="D82" i="17"/>
  <c r="E82" i="17" s="1"/>
  <c r="C82" i="17"/>
  <c r="L81" i="17" l="1"/>
  <c r="A121" i="17"/>
  <c r="G121" i="17" s="1"/>
  <c r="F82" i="17"/>
  <c r="H83" i="17"/>
  <c r="C83" i="17"/>
  <c r="D83" i="17"/>
  <c r="E83" i="17" s="1"/>
  <c r="L82" i="17" l="1"/>
  <c r="A122" i="17"/>
  <c r="G122" i="17" s="1"/>
  <c r="F83" i="17"/>
  <c r="H84" i="17"/>
  <c r="C84" i="17"/>
  <c r="D84" i="17"/>
  <c r="E84" i="17" s="1"/>
  <c r="L83" i="17" l="1"/>
  <c r="A123" i="17"/>
  <c r="G123" i="17" s="1"/>
  <c r="F84" i="17"/>
  <c r="H85" i="17"/>
  <c r="D85" i="17"/>
  <c r="E85" i="17" s="1"/>
  <c r="C85" i="17"/>
  <c r="L84" i="17" l="1"/>
  <c r="A124" i="17"/>
  <c r="G124" i="17" s="1"/>
  <c r="F85" i="17"/>
  <c r="L85" i="17" s="1"/>
  <c r="H86" i="17"/>
  <c r="D86" i="17"/>
  <c r="E86" i="17" s="1"/>
  <c r="C86" i="17"/>
  <c r="A125" i="17" l="1"/>
  <c r="G125" i="17" s="1"/>
  <c r="F86" i="17"/>
  <c r="H87" i="17"/>
  <c r="C87" i="17"/>
  <c r="D87" i="17"/>
  <c r="E87" i="17" s="1"/>
  <c r="L86" i="17" l="1"/>
  <c r="A126" i="17"/>
  <c r="G126" i="17" s="1"/>
  <c r="F87" i="17"/>
  <c r="H88" i="17"/>
  <c r="C88" i="17"/>
  <c r="D88" i="17"/>
  <c r="E88" i="17" s="1"/>
  <c r="L87" i="17" l="1"/>
  <c r="A127" i="17"/>
  <c r="G127" i="17" s="1"/>
  <c r="F88" i="17"/>
  <c r="H89" i="17"/>
  <c r="C89" i="17"/>
  <c r="D89" i="17"/>
  <c r="E89" i="17" s="1"/>
  <c r="L88" i="17" l="1"/>
  <c r="A128" i="17"/>
  <c r="G128" i="17" s="1"/>
  <c r="F89" i="17"/>
  <c r="H90" i="17"/>
  <c r="C90" i="17"/>
  <c r="D90" i="17"/>
  <c r="E90" i="17" s="1"/>
  <c r="L89" i="17" l="1"/>
  <c r="A129" i="17"/>
  <c r="G129" i="17" s="1"/>
  <c r="F90" i="17"/>
  <c r="H91" i="17"/>
  <c r="C91" i="17"/>
  <c r="D91" i="17"/>
  <c r="E91" i="17" s="1"/>
  <c r="L90" i="17" l="1"/>
  <c r="A130" i="17"/>
  <c r="G130" i="17" s="1"/>
  <c r="F91" i="17"/>
  <c r="H92" i="17"/>
  <c r="C92" i="17"/>
  <c r="D92" i="17"/>
  <c r="E92" i="17" s="1"/>
  <c r="L91" i="17" l="1"/>
  <c r="A131" i="17"/>
  <c r="G131" i="17" s="1"/>
  <c r="F92" i="17"/>
  <c r="H93" i="17"/>
  <c r="D93" i="17"/>
  <c r="E93" i="17" s="1"/>
  <c r="C93" i="17"/>
  <c r="L92" i="17" l="1"/>
  <c r="A132" i="17"/>
  <c r="G132" i="17" s="1"/>
  <c r="F93" i="17"/>
  <c r="H94" i="17"/>
  <c r="D94" i="17"/>
  <c r="E94" i="17" s="1"/>
  <c r="C94" i="17"/>
  <c r="L93" i="17" l="1"/>
  <c r="A133" i="17"/>
  <c r="G133" i="17" s="1"/>
  <c r="F94" i="17"/>
  <c r="H95" i="17"/>
  <c r="C95" i="17"/>
  <c r="D95" i="17"/>
  <c r="E95" i="17" s="1"/>
  <c r="L94" i="17" l="1"/>
  <c r="A134" i="17"/>
  <c r="G134" i="17" s="1"/>
  <c r="F95" i="17"/>
  <c r="H96" i="17"/>
  <c r="C96" i="17"/>
  <c r="D96" i="17"/>
  <c r="E96" i="17" s="1"/>
  <c r="L95" i="17" l="1"/>
  <c r="A135" i="17"/>
  <c r="G135" i="17" s="1"/>
  <c r="F96" i="17"/>
  <c r="H97" i="17"/>
  <c r="D97" i="17"/>
  <c r="E97" i="17" s="1"/>
  <c r="C97" i="17"/>
  <c r="L96" i="17" l="1"/>
  <c r="A136" i="17"/>
  <c r="G136" i="17" s="1"/>
  <c r="F97" i="17"/>
  <c r="H98" i="17"/>
  <c r="D98" i="17"/>
  <c r="E98" i="17" s="1"/>
  <c r="C98" i="17"/>
  <c r="L97" i="17" l="1"/>
  <c r="A137" i="17"/>
  <c r="G137" i="17" s="1"/>
  <c r="F98" i="17"/>
  <c r="H99" i="17"/>
  <c r="C99" i="17"/>
  <c r="D99" i="17"/>
  <c r="E99" i="17" s="1"/>
  <c r="L98" i="17" l="1"/>
  <c r="A138" i="17"/>
  <c r="G138" i="17" s="1"/>
  <c r="F99" i="17"/>
  <c r="H100" i="17"/>
  <c r="C100" i="17"/>
  <c r="D100" i="17"/>
  <c r="E100" i="17" s="1"/>
  <c r="L99" i="17" l="1"/>
  <c r="A139" i="17"/>
  <c r="G139" i="17" s="1"/>
  <c r="F100" i="17"/>
  <c r="H101" i="17"/>
  <c r="C101" i="17"/>
  <c r="D101" i="17"/>
  <c r="E101" i="17" s="1"/>
  <c r="L100" i="17" l="1"/>
  <c r="A140" i="17"/>
  <c r="G140" i="17" s="1"/>
  <c r="F101" i="17"/>
  <c r="H102" i="17"/>
  <c r="D102" i="17"/>
  <c r="E102" i="17" s="1"/>
  <c r="C102" i="17"/>
  <c r="L101" i="17" l="1"/>
  <c r="A141" i="17"/>
  <c r="G141" i="17" s="1"/>
  <c r="F102" i="17"/>
  <c r="H103" i="17"/>
  <c r="D103" i="17"/>
  <c r="E103" i="17" s="1"/>
  <c r="C103" i="17"/>
  <c r="L102" i="17" l="1"/>
  <c r="A142" i="17"/>
  <c r="G142" i="17" s="1"/>
  <c r="F103" i="17"/>
  <c r="L103" i="17" s="1"/>
  <c r="H104" i="17"/>
  <c r="C104" i="17"/>
  <c r="D104" i="17"/>
  <c r="E104" i="17" s="1"/>
  <c r="A143" i="17" l="1"/>
  <c r="G143" i="17" s="1"/>
  <c r="F104" i="17"/>
  <c r="H105" i="17"/>
  <c r="D105" i="17"/>
  <c r="E105" i="17" s="1"/>
  <c r="C105" i="17"/>
  <c r="L104" i="17" l="1"/>
  <c r="A144" i="17"/>
  <c r="G144" i="17" s="1"/>
  <c r="F105" i="17"/>
  <c r="H106" i="17"/>
  <c r="C106" i="17"/>
  <c r="D106" i="17"/>
  <c r="E106" i="17" s="1"/>
  <c r="L105" i="17" l="1"/>
  <c r="A145" i="17"/>
  <c r="G145" i="17" s="1"/>
  <c r="F106" i="17"/>
  <c r="H107" i="17"/>
  <c r="D107" i="17"/>
  <c r="E107" i="17" s="1"/>
  <c r="C107" i="17"/>
  <c r="L106" i="17" l="1"/>
  <c r="A146" i="17"/>
  <c r="G146" i="17" s="1"/>
  <c r="F107" i="17"/>
  <c r="H108" i="17"/>
  <c r="C108" i="17"/>
  <c r="D108" i="17"/>
  <c r="E108" i="17" s="1"/>
  <c r="L107" i="17" l="1"/>
  <c r="A147" i="17"/>
  <c r="G147" i="17" s="1"/>
  <c r="F108" i="17"/>
  <c r="H109" i="17"/>
  <c r="D109" i="17"/>
  <c r="E109" i="17" s="1"/>
  <c r="C109" i="17"/>
  <c r="L108" i="17" l="1"/>
  <c r="A148" i="17"/>
  <c r="G148" i="17" s="1"/>
  <c r="F109" i="17"/>
  <c r="H110" i="17"/>
  <c r="C110" i="17"/>
  <c r="D110" i="17"/>
  <c r="E110" i="17" s="1"/>
  <c r="L109" i="17" l="1"/>
  <c r="A149" i="17"/>
  <c r="G149" i="17" s="1"/>
  <c r="F110" i="17"/>
  <c r="H111" i="17"/>
  <c r="D111" i="17"/>
  <c r="E111" i="17" s="1"/>
  <c r="C111" i="17"/>
  <c r="L110" i="17" l="1"/>
  <c r="A150" i="17"/>
  <c r="G150" i="17" s="1"/>
  <c r="F111" i="17"/>
  <c r="H112" i="17"/>
  <c r="C112" i="17"/>
  <c r="D112" i="17"/>
  <c r="E112" i="17" s="1"/>
  <c r="L111" i="17" l="1"/>
  <c r="A151" i="17"/>
  <c r="G151" i="17" s="1"/>
  <c r="F112" i="17"/>
  <c r="H113" i="17"/>
  <c r="D113" i="17"/>
  <c r="E113" i="17" s="1"/>
  <c r="C113" i="17"/>
  <c r="L112" i="17" l="1"/>
  <c r="A152" i="17"/>
  <c r="G152" i="17" s="1"/>
  <c r="F113" i="17"/>
  <c r="L113" i="17" s="1"/>
  <c r="H114" i="17"/>
  <c r="C114" i="17"/>
  <c r="D114" i="17"/>
  <c r="E114" i="17" s="1"/>
  <c r="A153" i="17" l="1"/>
  <c r="G153" i="17" s="1"/>
  <c r="F114" i="17"/>
  <c r="H115" i="17"/>
  <c r="C115" i="17"/>
  <c r="D115" i="17"/>
  <c r="E115" i="17" s="1"/>
  <c r="L114" i="17" l="1"/>
  <c r="A154" i="17"/>
  <c r="G154" i="17" s="1"/>
  <c r="F115" i="17"/>
  <c r="H116" i="17"/>
  <c r="D116" i="17"/>
  <c r="E116" i="17" s="1"/>
  <c r="C116" i="17"/>
  <c r="L115" i="17" l="1"/>
  <c r="A155" i="17"/>
  <c r="G155" i="17" s="1"/>
  <c r="F116" i="17"/>
  <c r="H117" i="17"/>
  <c r="C117" i="17"/>
  <c r="D117" i="17"/>
  <c r="E117" i="17" s="1"/>
  <c r="L116" i="17" l="1"/>
  <c r="A156" i="17"/>
  <c r="G156" i="17" s="1"/>
  <c r="F117" i="17"/>
  <c r="H118" i="17"/>
  <c r="C118" i="17"/>
  <c r="D118" i="17"/>
  <c r="E118" i="17" s="1"/>
  <c r="L117" i="17" l="1"/>
  <c r="A157" i="17"/>
  <c r="G157" i="17" s="1"/>
  <c r="F118" i="17"/>
  <c r="H119" i="17"/>
  <c r="C119" i="17"/>
  <c r="D119" i="17"/>
  <c r="E119" i="17" s="1"/>
  <c r="L118" i="17" l="1"/>
  <c r="A158" i="17"/>
  <c r="G158" i="17" s="1"/>
  <c r="F119" i="17"/>
  <c r="H120" i="17"/>
  <c r="C120" i="17"/>
  <c r="D120" i="17"/>
  <c r="E120" i="17" s="1"/>
  <c r="L119" i="17" l="1"/>
  <c r="A159" i="17"/>
  <c r="G159" i="17" s="1"/>
  <c r="F120" i="17"/>
  <c r="H121" i="17"/>
  <c r="C121" i="17"/>
  <c r="D121" i="17"/>
  <c r="E121" i="17" s="1"/>
  <c r="L120" i="17" l="1"/>
  <c r="A160" i="17"/>
  <c r="G160" i="17" s="1"/>
  <c r="F121" i="17"/>
  <c r="H122" i="17"/>
  <c r="C122" i="17"/>
  <c r="D122" i="17"/>
  <c r="E122" i="17" s="1"/>
  <c r="L121" i="17" l="1"/>
  <c r="A161" i="17"/>
  <c r="G161" i="17" s="1"/>
  <c r="F122" i="17"/>
  <c r="H123" i="17"/>
  <c r="C123" i="17"/>
  <c r="D123" i="17"/>
  <c r="E123" i="17" s="1"/>
  <c r="L122" i="17" l="1"/>
  <c r="A162" i="17"/>
  <c r="G162" i="17" s="1"/>
  <c r="F123" i="17"/>
  <c r="L123" i="17" s="1"/>
  <c r="H124" i="17"/>
  <c r="C124" i="17"/>
  <c r="D124" i="17"/>
  <c r="E124" i="17" s="1"/>
  <c r="A163" i="17" l="1"/>
  <c r="G163" i="17" s="1"/>
  <c r="F124" i="17"/>
  <c r="L124" i="17" s="1"/>
  <c r="H125" i="17"/>
  <c r="C125" i="17"/>
  <c r="D125" i="17"/>
  <c r="E125" i="17" s="1"/>
  <c r="A164" i="17" l="1"/>
  <c r="G164" i="17" s="1"/>
  <c r="F125" i="17"/>
  <c r="L125" i="17" s="1"/>
  <c r="H126" i="17"/>
  <c r="D126" i="17"/>
  <c r="E126" i="17" s="1"/>
  <c r="C126" i="17"/>
  <c r="A165" i="17" l="1"/>
  <c r="G165" i="17" s="1"/>
  <c r="F126" i="17"/>
  <c r="L126" i="17" s="1"/>
  <c r="H127" i="17"/>
  <c r="C127" i="17"/>
  <c r="D127" i="17"/>
  <c r="E127" i="17" s="1"/>
  <c r="A166" i="17" l="1"/>
  <c r="G166" i="17" s="1"/>
  <c r="F127" i="17"/>
  <c r="L127" i="17" s="1"/>
  <c r="H128" i="17"/>
  <c r="C128" i="17"/>
  <c r="D128" i="17"/>
  <c r="E128" i="17" s="1"/>
  <c r="A167" i="17" l="1"/>
  <c r="G167" i="17" s="1"/>
  <c r="F128" i="17"/>
  <c r="H129" i="17"/>
  <c r="C129" i="17"/>
  <c r="D129" i="17"/>
  <c r="E129" i="17" s="1"/>
  <c r="L128" i="17" l="1"/>
  <c r="A168" i="17"/>
  <c r="G168" i="17" s="1"/>
  <c r="F129" i="17"/>
  <c r="L129" i="17" s="1"/>
  <c r="H130" i="17"/>
  <c r="D130" i="17"/>
  <c r="E130" i="17" s="1"/>
  <c r="C130" i="17"/>
  <c r="A169" i="17" l="1"/>
  <c r="G169" i="17" s="1"/>
  <c r="F130" i="17"/>
  <c r="L130" i="17" s="1"/>
  <c r="H131" i="17"/>
  <c r="D131" i="17"/>
  <c r="E131" i="17" s="1"/>
  <c r="C131" i="17"/>
  <c r="A170" i="17" l="1"/>
  <c r="G170" i="17" s="1"/>
  <c r="F131" i="17"/>
  <c r="L131" i="17" s="1"/>
  <c r="H132" i="17"/>
  <c r="D132" i="17"/>
  <c r="E132" i="17" s="1"/>
  <c r="C132" i="17"/>
  <c r="A171" i="17" l="1"/>
  <c r="G171" i="17" s="1"/>
  <c r="F132" i="17"/>
  <c r="L132" i="17" s="1"/>
  <c r="H133" i="17"/>
  <c r="D133" i="17"/>
  <c r="E133" i="17" s="1"/>
  <c r="C133" i="17"/>
  <c r="A172" i="17" l="1"/>
  <c r="G172" i="17" s="1"/>
  <c r="F133" i="17"/>
  <c r="L133" i="17" s="1"/>
  <c r="H134" i="17"/>
  <c r="D134" i="17"/>
  <c r="E134" i="17" s="1"/>
  <c r="C134" i="17"/>
  <c r="A173" i="17" l="1"/>
  <c r="G173" i="17" s="1"/>
  <c r="F134" i="17"/>
  <c r="H135" i="17"/>
  <c r="D135" i="17"/>
  <c r="E135" i="17" s="1"/>
  <c r="C135" i="17"/>
  <c r="L134" i="17" l="1"/>
  <c r="A174" i="17"/>
  <c r="G174" i="17" s="1"/>
  <c r="F135" i="17"/>
  <c r="L135" i="17" s="1"/>
  <c r="H136" i="17"/>
  <c r="D136" i="17"/>
  <c r="E136" i="17" s="1"/>
  <c r="C136" i="17"/>
  <c r="A175" i="17" l="1"/>
  <c r="G175" i="17" s="1"/>
  <c r="F136" i="17"/>
  <c r="L136" i="17" s="1"/>
  <c r="H137" i="17"/>
  <c r="D137" i="17"/>
  <c r="E137" i="17" s="1"/>
  <c r="C137" i="17"/>
  <c r="A176" i="17" l="1"/>
  <c r="G176" i="17" s="1"/>
  <c r="F137" i="17"/>
  <c r="L137" i="17" s="1"/>
  <c r="H138" i="17"/>
  <c r="D138" i="17"/>
  <c r="E138" i="17" s="1"/>
  <c r="C138" i="17"/>
  <c r="A177" i="17" l="1"/>
  <c r="G177" i="17" s="1"/>
  <c r="F138" i="17"/>
  <c r="L138" i="17" s="1"/>
  <c r="H139" i="17"/>
  <c r="D139" i="17"/>
  <c r="E139" i="17" s="1"/>
  <c r="C139" i="17"/>
  <c r="A178" i="17" l="1"/>
  <c r="G178" i="17" s="1"/>
  <c r="F139" i="17"/>
  <c r="L139" i="17" s="1"/>
  <c r="H140" i="17"/>
  <c r="D140" i="17"/>
  <c r="E140" i="17" s="1"/>
  <c r="C140" i="17"/>
  <c r="A179" i="17" l="1"/>
  <c r="G179" i="17" s="1"/>
  <c r="F140" i="17"/>
  <c r="H141" i="17"/>
  <c r="D141" i="17"/>
  <c r="E141" i="17" s="1"/>
  <c r="C141" i="17"/>
  <c r="L140" i="17" l="1"/>
  <c r="A180" i="17"/>
  <c r="G180" i="17" s="1"/>
  <c r="F141" i="17"/>
  <c r="L141" i="17" s="1"/>
  <c r="H142" i="17"/>
  <c r="D142" i="17"/>
  <c r="E142" i="17" s="1"/>
  <c r="C142" i="17"/>
  <c r="A181" i="17" l="1"/>
  <c r="G181" i="17" s="1"/>
  <c r="F142" i="17"/>
  <c r="L142" i="17" s="1"/>
  <c r="H143" i="17"/>
  <c r="D143" i="17"/>
  <c r="E143" i="17" s="1"/>
  <c r="C143" i="17"/>
  <c r="A182" i="17" l="1"/>
  <c r="G182" i="17" s="1"/>
  <c r="F143" i="17"/>
  <c r="L143" i="17" s="1"/>
  <c r="H144" i="17"/>
  <c r="D144" i="17"/>
  <c r="E144" i="17" s="1"/>
  <c r="C144" i="17"/>
  <c r="A183" i="17" l="1"/>
  <c r="G183" i="17" s="1"/>
  <c r="F144" i="17"/>
  <c r="L144" i="17" s="1"/>
  <c r="H145" i="17"/>
  <c r="D145" i="17"/>
  <c r="E145" i="17" s="1"/>
  <c r="C145" i="17"/>
  <c r="A184" i="17" l="1"/>
  <c r="G184" i="17" s="1"/>
  <c r="F145" i="17"/>
  <c r="L145" i="17" s="1"/>
  <c r="H146" i="17"/>
  <c r="D146" i="17"/>
  <c r="E146" i="17" s="1"/>
  <c r="C146" i="17"/>
  <c r="A185" i="17" l="1"/>
  <c r="G185" i="17" s="1"/>
  <c r="F146" i="17"/>
  <c r="L146" i="17" s="1"/>
  <c r="H147" i="17"/>
  <c r="D147" i="17"/>
  <c r="E147" i="17" s="1"/>
  <c r="C147" i="17"/>
  <c r="A186" i="17" l="1"/>
  <c r="G186" i="17" s="1"/>
  <c r="F147" i="17"/>
  <c r="L147" i="17" s="1"/>
  <c r="H148" i="17"/>
  <c r="D148" i="17"/>
  <c r="E148" i="17" s="1"/>
  <c r="C148" i="17"/>
  <c r="A187" i="17" l="1"/>
  <c r="G187" i="17" s="1"/>
  <c r="F148" i="17"/>
  <c r="L148" i="17" s="1"/>
  <c r="H149" i="17"/>
  <c r="D149" i="17"/>
  <c r="E149" i="17" s="1"/>
  <c r="C149" i="17"/>
  <c r="A188" i="17" l="1"/>
  <c r="G188" i="17" s="1"/>
  <c r="F149" i="17"/>
  <c r="L149" i="17" s="1"/>
  <c r="H150" i="17"/>
  <c r="D150" i="17"/>
  <c r="E150" i="17" s="1"/>
  <c r="C150" i="17"/>
  <c r="A189" i="17" l="1"/>
  <c r="G189" i="17" s="1"/>
  <c r="F150" i="17"/>
  <c r="L150" i="17" s="1"/>
  <c r="H151" i="17"/>
  <c r="D151" i="17"/>
  <c r="E151" i="17" s="1"/>
  <c r="C151" i="17"/>
  <c r="A190" i="17" l="1"/>
  <c r="G190" i="17" s="1"/>
  <c r="F151" i="17"/>
  <c r="L151" i="17" s="1"/>
  <c r="H152" i="17"/>
  <c r="D152" i="17"/>
  <c r="E152" i="17" s="1"/>
  <c r="C152" i="17"/>
  <c r="A191" i="17" l="1"/>
  <c r="G191" i="17" s="1"/>
  <c r="F152" i="17"/>
  <c r="L152" i="17" s="1"/>
  <c r="H153" i="17"/>
  <c r="D153" i="17"/>
  <c r="E153" i="17" s="1"/>
  <c r="C153" i="17"/>
  <c r="A192" i="17" l="1"/>
  <c r="G192" i="17" s="1"/>
  <c r="F153" i="17"/>
  <c r="L153" i="17" s="1"/>
  <c r="H154" i="17"/>
  <c r="D154" i="17"/>
  <c r="E154" i="17" s="1"/>
  <c r="C154" i="17"/>
  <c r="A193" i="17" l="1"/>
  <c r="G193" i="17" s="1"/>
  <c r="F154" i="17"/>
  <c r="L154" i="17" s="1"/>
  <c r="H155" i="17"/>
  <c r="D155" i="17"/>
  <c r="E155" i="17" s="1"/>
  <c r="C155" i="17"/>
  <c r="A194" i="17" l="1"/>
  <c r="G194" i="17" s="1"/>
  <c r="F155" i="17"/>
  <c r="L155" i="17" s="1"/>
  <c r="H156" i="17"/>
  <c r="D156" i="17"/>
  <c r="E156" i="17" s="1"/>
  <c r="C156" i="17"/>
  <c r="A195" i="17" l="1"/>
  <c r="G195" i="17" s="1"/>
  <c r="F156" i="17"/>
  <c r="L156" i="17" s="1"/>
  <c r="H157" i="17"/>
  <c r="D157" i="17"/>
  <c r="E157" i="17" s="1"/>
  <c r="C157" i="17"/>
  <c r="A196" i="17" l="1"/>
  <c r="G196" i="17" s="1"/>
  <c r="F157" i="17"/>
  <c r="L157" i="17" s="1"/>
  <c r="H158" i="17"/>
  <c r="D158" i="17"/>
  <c r="E158" i="17" s="1"/>
  <c r="C158" i="17"/>
  <c r="A197" i="17" l="1"/>
  <c r="G197" i="17" s="1"/>
  <c r="F158" i="17"/>
  <c r="L158" i="17" s="1"/>
  <c r="H159" i="17"/>
  <c r="D159" i="17"/>
  <c r="E159" i="17" s="1"/>
  <c r="C159" i="17"/>
  <c r="A198" i="17" l="1"/>
  <c r="G198" i="17" s="1"/>
  <c r="F159" i="17"/>
  <c r="L159" i="17" s="1"/>
  <c r="H160" i="17"/>
  <c r="C160" i="17"/>
  <c r="D160" i="17"/>
  <c r="E160" i="17" s="1"/>
  <c r="A199" i="17" l="1"/>
  <c r="G199" i="17" s="1"/>
  <c r="F160" i="17"/>
  <c r="L160" i="17" s="1"/>
  <c r="H161" i="17"/>
  <c r="C161" i="17"/>
  <c r="D161" i="17"/>
  <c r="E161" i="17" s="1"/>
  <c r="A200" i="17" l="1"/>
  <c r="G200" i="17" s="1"/>
  <c r="F161" i="17"/>
  <c r="L161" i="17" s="1"/>
  <c r="H162" i="17"/>
  <c r="C162" i="17"/>
  <c r="D162" i="17"/>
  <c r="E162" i="17" s="1"/>
  <c r="F162" i="17" l="1"/>
  <c r="L162" i="17" s="1"/>
  <c r="H163" i="17"/>
  <c r="C163" i="17"/>
  <c r="D163" i="17"/>
  <c r="E163" i="17" s="1"/>
  <c r="F163" i="17" l="1"/>
  <c r="L163" i="17" s="1"/>
  <c r="H164" i="17"/>
  <c r="C164" i="17"/>
  <c r="D164" i="17"/>
  <c r="E164" i="17" s="1"/>
  <c r="F164" i="17" l="1"/>
  <c r="L164" i="17" s="1"/>
  <c r="H165" i="17"/>
  <c r="D165" i="17"/>
  <c r="E165" i="17" s="1"/>
  <c r="C165" i="17"/>
  <c r="F165" i="17" l="1"/>
  <c r="L165" i="17" s="1"/>
  <c r="H166" i="17"/>
  <c r="D166" i="17"/>
  <c r="E166" i="17" s="1"/>
  <c r="C166" i="17"/>
  <c r="F166" i="17" l="1"/>
  <c r="L166" i="17" s="1"/>
  <c r="H167" i="17"/>
  <c r="C167" i="17"/>
  <c r="D167" i="17"/>
  <c r="E167" i="17" s="1"/>
  <c r="F167" i="17" l="1"/>
  <c r="L167" i="17" s="1"/>
  <c r="H168" i="17"/>
  <c r="C168" i="17"/>
  <c r="D168" i="17"/>
  <c r="H169" i="17" l="1"/>
  <c r="E168" i="17"/>
  <c r="F168" i="17" s="1"/>
  <c r="D169" i="17"/>
  <c r="E169" i="17" s="1"/>
  <c r="C169" i="17"/>
  <c r="L168" i="17" l="1"/>
  <c r="F169" i="17"/>
  <c r="L169" i="17" s="1"/>
  <c r="H170" i="17"/>
  <c r="D170" i="17"/>
  <c r="C170" i="17"/>
  <c r="H171" i="17" l="1"/>
  <c r="C171" i="17"/>
  <c r="D171" i="17"/>
  <c r="E171" i="17" s="1"/>
  <c r="E170" i="17"/>
  <c r="F170" i="17" s="1"/>
  <c r="L170" i="17" l="1"/>
  <c r="F171" i="17"/>
  <c r="L171" i="17" s="1"/>
  <c r="H172" i="17"/>
  <c r="C172" i="17"/>
  <c r="D172" i="17"/>
  <c r="H173" i="17" l="1"/>
  <c r="E172" i="17"/>
  <c r="F172" i="17" s="1"/>
  <c r="D173" i="17"/>
  <c r="E173" i="17" s="1"/>
  <c r="C173" i="17"/>
  <c r="L172" i="17" l="1"/>
  <c r="F173" i="17"/>
  <c r="L173" i="17" s="1"/>
  <c r="H174" i="17"/>
  <c r="D174" i="17"/>
  <c r="C174" i="17"/>
  <c r="H175" i="17" l="1"/>
  <c r="C175" i="17"/>
  <c r="D175" i="17"/>
  <c r="E175" i="17" s="1"/>
  <c r="E174" i="17"/>
  <c r="F174" i="17" s="1"/>
  <c r="L174" i="17" l="1"/>
  <c r="F175" i="17"/>
  <c r="L175" i="17" s="1"/>
  <c r="H176" i="17"/>
  <c r="C176" i="17"/>
  <c r="D176" i="17"/>
  <c r="H177" i="17" l="1"/>
  <c r="E176" i="17"/>
  <c r="F176" i="17" s="1"/>
  <c r="D177" i="17"/>
  <c r="E177" i="17" s="1"/>
  <c r="C177" i="17"/>
  <c r="L176" i="17" l="1"/>
  <c r="F177" i="17"/>
  <c r="L177" i="17" s="1"/>
  <c r="H178" i="17"/>
  <c r="D178" i="17"/>
  <c r="E178" i="17" s="1"/>
  <c r="C178" i="17"/>
  <c r="F178" i="17" l="1"/>
  <c r="L178" i="17" s="1"/>
  <c r="H179" i="17"/>
  <c r="C179" i="17"/>
  <c r="D179" i="17"/>
  <c r="E179" i="17" s="1"/>
  <c r="F179" i="17" l="1"/>
  <c r="L179" i="17" s="1"/>
  <c r="H180" i="17"/>
  <c r="C180" i="17"/>
  <c r="D180" i="17"/>
  <c r="E180" i="17" s="1"/>
  <c r="F180" i="17" l="1"/>
  <c r="L180" i="17" s="1"/>
  <c r="H181" i="17"/>
  <c r="D181" i="17"/>
  <c r="E181" i="17" s="1"/>
  <c r="C181" i="17"/>
  <c r="F181" i="17" l="1"/>
  <c r="L181" i="17" s="1"/>
  <c r="H182" i="17"/>
  <c r="D182" i="17"/>
  <c r="E182" i="17" s="1"/>
  <c r="C182" i="17"/>
  <c r="F182" i="17" l="1"/>
  <c r="L182" i="17" s="1"/>
  <c r="H183" i="17"/>
  <c r="C183" i="17"/>
  <c r="D183" i="17"/>
  <c r="E183" i="17" s="1"/>
  <c r="F183" i="17" l="1"/>
  <c r="L183" i="17" s="1"/>
  <c r="H184" i="17"/>
  <c r="C184" i="17"/>
  <c r="D184" i="17"/>
  <c r="E184" i="17" s="1"/>
  <c r="F184" i="17" l="1"/>
  <c r="L184" i="17" s="1"/>
  <c r="H185" i="17"/>
  <c r="D185" i="17"/>
  <c r="E185" i="17" s="1"/>
  <c r="C185" i="17"/>
  <c r="F185" i="17" l="1"/>
  <c r="L185" i="17" s="1"/>
  <c r="H186" i="17"/>
  <c r="D186" i="17"/>
  <c r="E186" i="17" s="1"/>
  <c r="C186" i="17"/>
  <c r="F186" i="17" l="1"/>
  <c r="L186" i="17" s="1"/>
  <c r="H187" i="17"/>
  <c r="C187" i="17"/>
  <c r="D187" i="17"/>
  <c r="E187" i="17" s="1"/>
  <c r="F187" i="17" l="1"/>
  <c r="L187" i="17" s="1"/>
  <c r="H188" i="17"/>
  <c r="C188" i="17"/>
  <c r="D188" i="17"/>
  <c r="E188" i="17" s="1"/>
  <c r="F188" i="17" l="1"/>
  <c r="L188" i="17" s="1"/>
  <c r="H189" i="17"/>
  <c r="D189" i="17"/>
  <c r="E189" i="17" s="1"/>
  <c r="C189" i="17"/>
  <c r="F189" i="17" l="1"/>
  <c r="L189" i="17" s="1"/>
  <c r="H190" i="17"/>
  <c r="C190" i="17"/>
  <c r="D190" i="17"/>
  <c r="E190" i="17" s="1"/>
  <c r="F190" i="17" l="1"/>
  <c r="L190" i="17" s="1"/>
  <c r="H191" i="17"/>
  <c r="C191" i="17"/>
  <c r="D191" i="17"/>
  <c r="E191" i="17" s="1"/>
  <c r="F191" i="17" l="1"/>
  <c r="L191" i="17" s="1"/>
  <c r="H192" i="17"/>
  <c r="C192" i="17"/>
  <c r="D192" i="17"/>
  <c r="E192" i="17" s="1"/>
  <c r="F192" i="17" l="1"/>
  <c r="L192" i="17" s="1"/>
  <c r="H193" i="17"/>
  <c r="D193" i="17"/>
  <c r="E193" i="17" s="1"/>
  <c r="C193" i="17"/>
  <c r="F193" i="17" l="1"/>
  <c r="L193" i="17" s="1"/>
  <c r="H194" i="17"/>
  <c r="D194" i="17"/>
  <c r="E194" i="17" s="1"/>
  <c r="C194" i="17"/>
  <c r="F194" i="17" l="1"/>
  <c r="L194" i="17" s="1"/>
  <c r="H195" i="17"/>
  <c r="C195" i="17"/>
  <c r="D195" i="17"/>
  <c r="E195" i="17" s="1"/>
  <c r="F195" i="17" l="1"/>
  <c r="L195" i="17" s="1"/>
  <c r="H196" i="17"/>
  <c r="D196" i="17"/>
  <c r="E196" i="17" s="1"/>
  <c r="C196" i="17"/>
  <c r="F196" i="17" l="1"/>
  <c r="L196" i="17" s="1"/>
  <c r="H197" i="17"/>
  <c r="D197" i="17"/>
  <c r="E197" i="17" s="1"/>
  <c r="C197" i="17"/>
  <c r="F197" i="17" l="1"/>
  <c r="L197" i="17" s="1"/>
  <c r="H198" i="17"/>
  <c r="C198" i="17"/>
  <c r="D198" i="17"/>
  <c r="E198" i="17" s="1"/>
  <c r="F198" i="17" l="1"/>
  <c r="L198" i="17" s="1"/>
  <c r="H199" i="17"/>
  <c r="D199" i="17"/>
  <c r="E199" i="17" s="1"/>
  <c r="C199" i="17"/>
  <c r="F199" i="17" l="1"/>
  <c r="L199" i="17" s="1"/>
  <c r="H200" i="17"/>
  <c r="D200" i="17"/>
  <c r="C200" i="17"/>
  <c r="E200" i="17" l="1"/>
  <c r="F200" i="17" l="1"/>
  <c r="L200" i="17" s="1"/>
</calcChain>
</file>

<file path=xl/sharedStrings.xml><?xml version="1.0" encoding="utf-8"?>
<sst xmlns="http://schemas.openxmlformats.org/spreadsheetml/2006/main" count="61" uniqueCount="60">
  <si>
    <t>Tipo</t>
  </si>
  <si>
    <t>Garantizado</t>
  </si>
  <si>
    <t xml:space="preserve">Monto Contratado </t>
  </si>
  <si>
    <t>Plazo (meses)</t>
  </si>
  <si>
    <t xml:space="preserve">Factor de Actualización </t>
  </si>
  <si>
    <t>Aportación Periódica a Fideicomiso</t>
  </si>
  <si>
    <t>Cuota de Administración</t>
  </si>
  <si>
    <t xml:space="preserve">IVA Cuota de Administración </t>
  </si>
  <si>
    <t xml:space="preserve">Seguro de vida, incapacidad permanente total o invalidez </t>
  </si>
  <si>
    <t>Cuota de Inscripción Inicial</t>
  </si>
  <si>
    <t>CLIENTE</t>
  </si>
  <si>
    <t>NOMBRE</t>
  </si>
  <si>
    <t>TELEFONO</t>
  </si>
  <si>
    <t>FECHA</t>
  </si>
  <si>
    <t>*PGPCA</t>
  </si>
  <si>
    <t>PLAN AUTOFINANCIAMIENTO</t>
  </si>
  <si>
    <t>SEGURO DE DAÑOS</t>
  </si>
  <si>
    <t xml:space="preserve">AFORO </t>
  </si>
  <si>
    <t>APORTACIÓN A CAPITAL</t>
  </si>
  <si>
    <t>IVA DAÑOS</t>
  </si>
  <si>
    <t>MENSUALIDAD INICIAL</t>
  </si>
  <si>
    <t>GASTOS ADMON (MES 1 A 24)</t>
  </si>
  <si>
    <t>GASTOS ADMON (MES 25 A 180)</t>
  </si>
  <si>
    <t>CUOTA DE ADMINISTRACIÓN</t>
  </si>
  <si>
    <t>IVA CUOTA DE ADMINISTRACIÓN</t>
  </si>
  <si>
    <t>SEGUROS</t>
  </si>
  <si>
    <t>Cuota</t>
  </si>
  <si>
    <t>Valor Presente del Inmueble</t>
  </si>
  <si>
    <t>Aforo</t>
  </si>
  <si>
    <t>Gastos de Administración</t>
  </si>
  <si>
    <t>MONTO MENSUALIDADES ANTICIPADAS</t>
  </si>
  <si>
    <t>NUMERO MENSUALIDADES ANTICIPADAS</t>
  </si>
  <si>
    <t>MES DE CONTRATACIÓN</t>
  </si>
  <si>
    <t>VALOR</t>
  </si>
  <si>
    <t>FECHA LÍMITE</t>
  </si>
  <si>
    <t>PROCESO DE ADJUDICACIÓN</t>
  </si>
  <si>
    <t>Cuota de Inscripción Diferida</t>
  </si>
  <si>
    <r>
      <t xml:space="preserve">Seguro de Daños </t>
    </r>
    <r>
      <rPr>
        <i/>
        <sz val="11"/>
        <color theme="0"/>
        <rFont val="Calibri"/>
        <family val="2"/>
        <scheme val="minor"/>
      </rPr>
      <t>(aplicable a partir de la disposición de recursos)</t>
    </r>
  </si>
  <si>
    <t>TOTAL APORTACIÓN MENSUAL</t>
  </si>
  <si>
    <t>La tabla presente es una simulación de un plan de autofinanciamiento, no constituye una autorización de crédito ni representa obligación alguna para Tu Casa Express, S.A. de C.V.. Los valores plasmados puede variar en función de la fecha de contratación y las condiciones comerciales del producto</t>
  </si>
  <si>
    <t>PLAN PREMIER</t>
  </si>
  <si>
    <t>Cuotas Remanentes para liquidar</t>
  </si>
  <si>
    <t>Mensualidad Inicial</t>
  </si>
  <si>
    <t>Costo estimado Avalúo</t>
  </si>
  <si>
    <t>Monto Financiado</t>
  </si>
  <si>
    <t>Gastos notariales</t>
  </si>
  <si>
    <t>PLAZO (mensualidades)</t>
  </si>
  <si>
    <t>COMPOSICIÓN MENSUALIDAD INICIAL</t>
  </si>
  <si>
    <t>VALOR DE CONTRATO</t>
  </si>
  <si>
    <t>CUOTA DE INSCRIPCIÓN INICIAL</t>
  </si>
  <si>
    <t>ANTICIPO (APORTACIÓN EXTRAORDINARIA)</t>
  </si>
  <si>
    <t>PLAZO TOTAL(mensualidades)</t>
  </si>
  <si>
    <t>PLAZO ADJUDICACIÓN</t>
  </si>
  <si>
    <t>7 mensualidades</t>
  </si>
  <si>
    <t>Aportación Extraordinaria 35%</t>
  </si>
  <si>
    <t>1 mensualidad</t>
  </si>
  <si>
    <t>PAGO ANTICIPO 35%</t>
  </si>
  <si>
    <t>*Recuerda que las mensualidades para adjudicación deben ser pagadas de forma oportuna y consecutiva para que el plazo de adjudicación ocurra correctamente.</t>
  </si>
  <si>
    <t>Plan Preventa</t>
  </si>
  <si>
    <t>PLAN PREVENTA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</si>
</sst>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0.0%"/>
    <numFmt numFmtId="165" formatCode="&quot;$&quot;#,##0.00"/>
    <numFmt numFmtId="166" formatCode="[$-F800]dddd\,\ mmmm\ dd\,\ yyyy"/>
    <numFmt numFmtId="167" formatCode="&quot;$&quot;#,##0"/>
    <numFmt numFmtId="168" formatCode="dd/mm/yyyy;@"/>
    <numFmt numFmtId="169" formatCode="mmmm"/>
    <numFmt numFmtId="170" formatCode="mmm\-yyyy"/>
  </numFmts>
  <fonts count="23"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b/>
      <sz val="11"/>
      <name val="Calibri"/>
      <family val="2"/>
      <scheme val="minor"/>
    </font>
    <font>
      <sz val="11"/>
      <color theme="1"/>
      <name val="Calibri"/>
      <family val="2"/>
      <charset val="1"/>
      <scheme val="minor"/>
    </font>
    <font>
      <b/>
      <i/>
      <sz val="11"/>
      <color rgb="FFFF0000"/>
      <name val="Calibri"/>
      <family val="2"/>
      <scheme val="minor"/>
    </font>
    <font>
      <b/>
      <i/>
      <sz val="11"/>
      <color theme="0"/>
      <name val="Calibri"/>
      <family val="2"/>
      <scheme val="minor"/>
    </font>
    <font>
      <i/>
      <sz val="11"/>
      <color theme="0"/>
      <name val="Calibri"/>
      <family val="2"/>
      <scheme val="minor"/>
    </font>
    <font>
      <sz val="7"/>
      <color theme="1"/>
      <name val="Calibri"/>
      <family val="2"/>
      <scheme val="minor"/>
    </font>
    <font>
      <i/>
      <sz val="10"/>
      <color theme="0" tint="-0.34998626667073579"/>
      <name val="Calibri"/>
      <family val="2"/>
      <scheme val="minor"/>
    </font>
    <font>
      <sz val="16"/>
      <color theme="0"/>
      <name val="Calibri"/>
      <family val="2"/>
      <scheme val="minor"/>
    </font>
    <font>
      <sz val="7.5"/>
      <color rgb="FFFF0000"/>
      <name val="Calibri"/>
      <family val="2"/>
      <scheme val="minor"/>
    </font>
    <font>
      <b/>
      <sz val="16"/>
      <color theme="0"/>
      <name val="Aharoni"/>
      <charset val="177"/>
    </font>
    <font>
      <sz val="11"/>
      <color theme="0"/>
      <name val="Calibri"/>
      <family val="2"/>
      <scheme val="minor"/>
    </font>
    <font>
      <b/>
      <i/>
      <sz val="16"/>
      <color rgb="FFFF0000"/>
      <name val="Calibri"/>
      <family val="2"/>
      <scheme val="minor"/>
    </font>
    <font>
      <b/>
      <sz val="11"/>
      <name val="Ubuntu"/>
      <family val="2"/>
    </font>
    <font>
      <b/>
      <sz val="11"/>
      <color theme="0"/>
      <name val="Ubuntu"/>
      <family val="2"/>
    </font>
    <font>
      <sz val="11"/>
      <color rgb="FFFF0000"/>
      <name val="Calibri"/>
      <family val="2"/>
      <scheme val="minor"/>
    </font>
    <font>
      <b/>
      <sz val="16"/>
      <color rgb="FFFF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E33D3D"/>
        <bgColor indexed="64"/>
      </patternFill>
    </fill>
    <fill>
      <patternFill patternType="solid">
        <fgColor theme="2" tint="-0.499984740745262"/>
        <bgColor indexed="64"/>
      </patternFill>
    </fill>
    <fill>
      <patternFill patternType="solid">
        <fgColor indexed="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499984740745262"/>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77111117893"/>
      </left>
      <right style="thin">
        <color theme="1" tint="0.249977111117893"/>
      </right>
      <top style="medium">
        <color theme="1" tint="0.249977111117893"/>
      </top>
      <bottom style="thin">
        <color theme="1" tint="0.249977111117893"/>
      </bottom>
      <diagonal/>
    </border>
    <border>
      <left style="thin">
        <color theme="1" tint="0.249977111117893"/>
      </left>
      <right style="thin">
        <color theme="1" tint="0.249977111117893"/>
      </right>
      <top style="medium">
        <color theme="1" tint="0.249977111117893"/>
      </top>
      <bottom style="thin">
        <color theme="1" tint="0.249977111117893"/>
      </bottom>
      <diagonal/>
    </border>
    <border>
      <left style="thin">
        <color theme="1" tint="0.249977111117893"/>
      </left>
      <right style="medium">
        <color theme="1" tint="0.249977111117893"/>
      </right>
      <top style="medium">
        <color theme="1" tint="0.249977111117893"/>
      </top>
      <bottom style="thin">
        <color theme="1" tint="0.249977111117893"/>
      </bottom>
      <diagonal/>
    </border>
    <border>
      <left style="medium">
        <color theme="1" tint="0.249977111117893"/>
      </left>
      <right style="thin">
        <color theme="1" tint="0.249977111117893"/>
      </right>
      <top style="thin">
        <color theme="1" tint="0.249977111117893"/>
      </top>
      <bottom style="thin">
        <color theme="1" tint="0.249977111117893"/>
      </bottom>
      <diagonal/>
    </border>
    <border>
      <left style="medium">
        <color theme="1" tint="0.249977111117893"/>
      </left>
      <right style="thin">
        <color theme="1" tint="0.249977111117893"/>
      </right>
      <top style="thin">
        <color theme="1" tint="0.249977111117893"/>
      </top>
      <bottom style="medium">
        <color theme="1" tint="0.249977111117893"/>
      </bottom>
      <diagonal/>
    </border>
    <border>
      <left style="thin">
        <color theme="1" tint="0.249977111117893"/>
      </left>
      <right style="thin">
        <color theme="1" tint="0.249977111117893"/>
      </right>
      <top style="thin">
        <color theme="1" tint="0.249977111117893"/>
      </top>
      <bottom style="medium">
        <color theme="1" tint="0.249977111117893"/>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diagonal/>
    </border>
    <border>
      <left/>
      <right style="thin">
        <color theme="1" tint="0.249977111117893"/>
      </right>
      <top/>
      <bottom style="thin">
        <color theme="1" tint="0.249977111117893"/>
      </bottom>
      <diagonal/>
    </border>
    <border>
      <left style="thin">
        <color theme="1" tint="0.249977111117893"/>
      </left>
      <right/>
      <top style="thin">
        <color theme="1" tint="0.249977111117893"/>
      </top>
      <bottom/>
      <diagonal/>
    </border>
    <border>
      <left/>
      <right/>
      <top style="thin">
        <color theme="1" tint="0.249977111117893"/>
      </top>
      <bottom/>
      <diagonal/>
    </border>
    <border>
      <left style="thin">
        <color theme="1" tint="0.249977111117893"/>
      </left>
      <right/>
      <top/>
      <bottom style="thin">
        <color theme="1" tint="0.249977111117893"/>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medium">
        <color indexed="64"/>
      </left>
      <right style="thin">
        <color theme="1" tint="0.249977111117893"/>
      </right>
      <top style="medium">
        <color indexed="64"/>
      </top>
      <bottom style="thin">
        <color theme="1" tint="0.249977111117893"/>
      </bottom>
      <diagonal/>
    </border>
    <border>
      <left style="thin">
        <color theme="1" tint="0.249977111117893"/>
      </left>
      <right/>
      <top style="medium">
        <color indexed="64"/>
      </top>
      <bottom style="thin">
        <color theme="1" tint="0.249977111117893"/>
      </bottom>
      <diagonal/>
    </border>
    <border>
      <left style="medium">
        <color indexed="64"/>
      </left>
      <right style="thin">
        <color theme="1" tint="0.249977111117893"/>
      </right>
      <top style="thin">
        <color theme="1" tint="0.249977111117893"/>
      </top>
      <bottom style="thin">
        <color theme="1" tint="0.249977111117893"/>
      </bottom>
      <diagonal/>
    </border>
    <border>
      <left style="medium">
        <color indexed="64"/>
      </left>
      <right style="thin">
        <color theme="1" tint="0.249977111117893"/>
      </right>
      <top style="thin">
        <color theme="1" tint="0.249977111117893"/>
      </top>
      <bottom style="medium">
        <color indexed="64"/>
      </bottom>
      <diagonal/>
    </border>
    <border>
      <left style="thin">
        <color theme="1" tint="0.249977111117893"/>
      </left>
      <right/>
      <top style="thin">
        <color theme="1" tint="0.249977111117893"/>
      </top>
      <bottom style="medium">
        <color indexed="64"/>
      </bottom>
      <diagonal/>
    </border>
    <border>
      <left style="medium">
        <color indexed="64"/>
      </left>
      <right style="thin">
        <color theme="1" tint="0.249977111117893"/>
      </right>
      <top/>
      <bottom style="thin">
        <color theme="1" tint="0.249977111117893"/>
      </bottom>
      <diagonal/>
    </border>
    <border>
      <left/>
      <right style="medium">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medium">
        <color theme="1" tint="0.249977111117893"/>
      </bottom>
      <diagonal/>
    </border>
    <border>
      <left/>
      <right/>
      <top style="thin">
        <color theme="1" tint="0.249977111117893"/>
      </top>
      <bottom style="medium">
        <color theme="1" tint="0.249977111117893"/>
      </bottom>
      <diagonal/>
    </border>
    <border>
      <left/>
      <right style="medium">
        <color theme="1" tint="0.249977111117893"/>
      </right>
      <top style="thin">
        <color theme="1" tint="0.249977111117893"/>
      </top>
      <bottom style="medium">
        <color theme="1" tint="0.249977111117893"/>
      </bottom>
      <diagonal/>
    </border>
    <border>
      <left style="thin">
        <color theme="1" tint="0.249977111117893"/>
      </left>
      <right style="thin">
        <color theme="1" tint="0.249977111117893"/>
      </right>
      <top style="medium">
        <color indexed="64"/>
      </top>
      <bottom style="thin">
        <color theme="1" tint="0.249977111117893"/>
      </bottom>
      <diagonal/>
    </border>
    <border>
      <left style="thin">
        <color theme="1" tint="0.249977111117893"/>
      </left>
      <right style="medium">
        <color indexed="64"/>
      </right>
      <top style="medium">
        <color indexed="64"/>
      </top>
      <bottom style="thin">
        <color theme="1" tint="0.249977111117893"/>
      </bottom>
      <diagonal/>
    </border>
    <border>
      <left style="medium">
        <color indexed="64"/>
      </left>
      <right/>
      <top style="thin">
        <color theme="1" tint="0.249977111117893"/>
      </top>
      <bottom/>
      <diagonal/>
    </border>
    <border>
      <left/>
      <right style="medium">
        <color indexed="64"/>
      </right>
      <top style="thin">
        <color theme="1" tint="0.249977111117893"/>
      </top>
      <bottom/>
      <diagonal/>
    </border>
    <border>
      <left style="medium">
        <color indexed="64"/>
      </left>
      <right/>
      <top/>
      <bottom style="thin">
        <color theme="1" tint="0.249977111117893"/>
      </bottom>
      <diagonal/>
    </border>
    <border>
      <left/>
      <right style="medium">
        <color indexed="64"/>
      </right>
      <top/>
      <bottom style="thin">
        <color theme="1" tint="0.249977111117893"/>
      </bottom>
      <diagonal/>
    </border>
    <border>
      <left/>
      <right style="medium">
        <color indexed="64"/>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style="medium">
        <color indexed="64"/>
      </bottom>
      <diagonal/>
    </border>
    <border>
      <left/>
      <right/>
      <top style="thin">
        <color theme="1" tint="0.249977111117893"/>
      </top>
      <bottom style="medium">
        <color indexed="64"/>
      </bottom>
      <diagonal/>
    </border>
    <border>
      <left/>
      <right style="medium">
        <color indexed="64"/>
      </right>
      <top style="thin">
        <color theme="1" tint="0.249977111117893"/>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7" fillId="0" borderId="0"/>
  </cellStyleXfs>
  <cellXfs count="247">
    <xf numFmtId="0" fontId="0" fillId="0" borderId="0" xfId="0"/>
    <xf numFmtId="0" fontId="5" fillId="4" borderId="0" xfId="0" applyFont="1" applyFill="1" applyProtection="1">
      <protection hidden="1"/>
    </xf>
    <xf numFmtId="0" fontId="0" fillId="2" borderId="0" xfId="0" applyFill="1" applyProtection="1">
      <protection hidden="1"/>
    </xf>
    <xf numFmtId="0" fontId="2" fillId="2" borderId="0" xfId="0" applyFont="1" applyFill="1" applyProtection="1">
      <protection hidden="1"/>
    </xf>
    <xf numFmtId="9" fontId="2" fillId="2" borderId="0" xfId="0" applyNumberFormat="1" applyFont="1" applyFill="1" applyProtection="1">
      <protection hidden="1"/>
    </xf>
    <xf numFmtId="164" fontId="0" fillId="2" borderId="0" xfId="0" applyNumberFormat="1" applyFill="1" applyAlignment="1" applyProtection="1">
      <alignment horizontal="left"/>
      <protection hidden="1"/>
    </xf>
    <xf numFmtId="10" fontId="0" fillId="2" borderId="0" xfId="0" applyNumberFormat="1" applyFill="1" applyAlignment="1" applyProtection="1">
      <alignment horizontal="left"/>
      <protection hidden="1"/>
    </xf>
    <xf numFmtId="0" fontId="1" fillId="6" borderId="4" xfId="0" applyFont="1" applyFill="1" applyBorder="1" applyProtection="1">
      <protection hidden="1"/>
    </xf>
    <xf numFmtId="0" fontId="1" fillId="6" borderId="0" xfId="0" applyFont="1" applyFill="1" applyProtection="1">
      <protection hidden="1"/>
    </xf>
    <xf numFmtId="0" fontId="0" fillId="6" borderId="0" xfId="0" applyFill="1" applyProtection="1">
      <protection hidden="1"/>
    </xf>
    <xf numFmtId="44" fontId="0" fillId="2" borderId="0" xfId="1" applyFont="1" applyFill="1" applyProtection="1">
      <protection hidden="1"/>
    </xf>
    <xf numFmtId="44" fontId="0" fillId="2" borderId="0" xfId="0" applyNumberFormat="1" applyFill="1" applyProtection="1">
      <protection hidden="1"/>
    </xf>
    <xf numFmtId="44" fontId="2" fillId="2" borderId="0" xfId="1" applyFont="1" applyFill="1" applyProtection="1">
      <protection hidden="1"/>
    </xf>
    <xf numFmtId="44" fontId="2" fillId="2" borderId="0" xfId="0" applyNumberFormat="1" applyFont="1" applyFill="1" applyProtection="1">
      <protection hidden="1"/>
    </xf>
    <xf numFmtId="0" fontId="1" fillId="2" borderId="0" xfId="0" applyFont="1" applyFill="1" applyAlignment="1" applyProtection="1">
      <alignment horizontal="center" vertical="center" wrapText="1"/>
      <protection hidden="1"/>
    </xf>
    <xf numFmtId="0" fontId="4" fillId="4" borderId="28"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18" xfId="0" applyFont="1" applyFill="1" applyBorder="1" applyAlignment="1" applyProtection="1">
      <alignment horizontal="center" vertical="center" wrapText="1"/>
      <protection hidden="1"/>
    </xf>
    <xf numFmtId="0" fontId="4" fillId="4" borderId="27" xfId="0" applyFont="1" applyFill="1" applyBorder="1" applyAlignment="1" applyProtection="1">
      <alignment horizontal="center" vertical="center" wrapText="1"/>
      <protection hidden="1"/>
    </xf>
    <xf numFmtId="44" fontId="3" fillId="7" borderId="9" xfId="1" applyFont="1" applyFill="1" applyBorder="1" applyProtection="1">
      <protection hidden="1"/>
    </xf>
    <xf numFmtId="44" fontId="0" fillId="7" borderId="9" xfId="0" applyNumberFormat="1" applyFill="1" applyBorder="1" applyProtection="1">
      <protection hidden="1"/>
    </xf>
    <xf numFmtId="0" fontId="0" fillId="7" borderId="9" xfId="0" applyFill="1" applyBorder="1" applyProtection="1">
      <protection hidden="1"/>
    </xf>
    <xf numFmtId="0" fontId="0" fillId="7" borderId="9" xfId="0" applyFill="1" applyBorder="1" applyAlignment="1" applyProtection="1">
      <alignment horizontal="center"/>
      <protection locked="0" hidden="1"/>
    </xf>
    <xf numFmtId="44" fontId="3" fillId="7" borderId="13" xfId="1" applyFont="1" applyFill="1" applyBorder="1" applyProtection="1">
      <protection hidden="1"/>
    </xf>
    <xf numFmtId="44" fontId="0" fillId="2" borderId="9" xfId="0" applyNumberFormat="1" applyFill="1" applyBorder="1" applyProtection="1">
      <protection hidden="1"/>
    </xf>
    <xf numFmtId="44" fontId="0" fillId="2" borderId="9" xfId="1" applyFont="1" applyFill="1" applyBorder="1" applyProtection="1">
      <protection hidden="1"/>
    </xf>
    <xf numFmtId="0" fontId="4" fillId="2" borderId="0" xfId="0" applyFont="1" applyFill="1" applyProtection="1">
      <protection hidden="1"/>
    </xf>
    <xf numFmtId="44" fontId="4" fillId="2" borderId="0" xfId="1" applyFont="1" applyFill="1" applyProtection="1">
      <protection hidden="1"/>
    </xf>
    <xf numFmtId="14" fontId="9" fillId="2" borderId="0" xfId="0" applyNumberFormat="1" applyFont="1" applyFill="1" applyProtection="1">
      <protection hidden="1"/>
    </xf>
    <xf numFmtId="0" fontId="1" fillId="6" borderId="1" xfId="0" applyFont="1" applyFill="1" applyBorder="1" applyProtection="1">
      <protection hidden="1"/>
    </xf>
    <xf numFmtId="0" fontId="1" fillId="6" borderId="2" xfId="0" applyFont="1" applyFill="1" applyBorder="1" applyProtection="1">
      <protection hidden="1"/>
    </xf>
    <xf numFmtId="169" fontId="0" fillId="2" borderId="0" xfId="0" applyNumberFormat="1" applyFill="1" applyProtection="1">
      <protection hidden="1"/>
    </xf>
    <xf numFmtId="44" fontId="1" fillId="6" borderId="0" xfId="1" applyFont="1" applyFill="1" applyProtection="1">
      <protection hidden="1"/>
    </xf>
    <xf numFmtId="44" fontId="1" fillId="2" borderId="0" xfId="1" applyFont="1" applyFill="1" applyAlignment="1" applyProtection="1">
      <alignment horizontal="center" vertical="center" wrapText="1"/>
      <protection hidden="1"/>
    </xf>
    <xf numFmtId="0" fontId="0" fillId="7" borderId="10" xfId="0" applyFill="1" applyBorder="1" applyAlignment="1" applyProtection="1">
      <alignment horizontal="center"/>
      <protection hidden="1"/>
    </xf>
    <xf numFmtId="44" fontId="0" fillId="7" borderId="11" xfId="1" applyFont="1" applyFill="1" applyBorder="1" applyProtection="1">
      <protection hidden="1"/>
    </xf>
    <xf numFmtId="44" fontId="0" fillId="7" borderId="11" xfId="0" applyNumberFormat="1" applyFill="1" applyBorder="1" applyProtection="1">
      <protection hidden="1"/>
    </xf>
    <xf numFmtId="0" fontId="0" fillId="7" borderId="11" xfId="0" applyFill="1" applyBorder="1" applyProtection="1">
      <protection hidden="1"/>
    </xf>
    <xf numFmtId="0" fontId="0" fillId="7" borderId="12" xfId="0" applyFill="1" applyBorder="1" applyAlignment="1" applyProtection="1">
      <alignment horizontal="center"/>
      <protection hidden="1"/>
    </xf>
    <xf numFmtId="0" fontId="0" fillId="0" borderId="12" xfId="0" applyBorder="1" applyAlignment="1" applyProtection="1">
      <alignment horizontal="center"/>
      <protection hidden="1"/>
    </xf>
    <xf numFmtId="44" fontId="3" fillId="2" borderId="9" xfId="1" applyFont="1" applyFill="1" applyBorder="1" applyProtection="1">
      <protection hidden="1"/>
    </xf>
    <xf numFmtId="44" fontId="2" fillId="2" borderId="9" xfId="1" applyFont="1" applyFill="1" applyBorder="1" applyProtection="1">
      <protection hidden="1"/>
    </xf>
    <xf numFmtId="44" fontId="6" fillId="2" borderId="0" xfId="0" applyNumberFormat="1" applyFont="1" applyFill="1" applyProtection="1">
      <protection hidden="1"/>
    </xf>
    <xf numFmtId="44" fontId="2" fillId="0" borderId="9" xfId="1" applyFont="1" applyFill="1" applyBorder="1" applyProtection="1">
      <protection hidden="1"/>
    </xf>
    <xf numFmtId="0" fontId="2" fillId="0" borderId="0" xfId="0" applyFont="1" applyProtection="1">
      <protection hidden="1"/>
    </xf>
    <xf numFmtId="44" fontId="0" fillId="0" borderId="0" xfId="1" applyFont="1" applyFill="1" applyProtection="1">
      <protection hidden="1"/>
    </xf>
    <xf numFmtId="0" fontId="0" fillId="0" borderId="14" xfId="0" applyBorder="1" applyAlignment="1" applyProtection="1">
      <alignment horizontal="center"/>
      <protection hidden="1"/>
    </xf>
    <xf numFmtId="44" fontId="2" fillId="0" borderId="15" xfId="1" applyFont="1" applyFill="1" applyBorder="1" applyProtection="1">
      <protection hidden="1"/>
    </xf>
    <xf numFmtId="0" fontId="4" fillId="4" borderId="28" xfId="0" applyFont="1" applyFill="1" applyBorder="1" applyAlignment="1" applyProtection="1">
      <alignment horizontal="center" vertical="center" wrapText="1"/>
      <protection locked="0" hidden="1"/>
    </xf>
    <xf numFmtId="0" fontId="0" fillId="7" borderId="11" xfId="0" applyFill="1" applyBorder="1" applyAlignment="1" applyProtection="1">
      <alignment horizontal="center"/>
      <protection locked="0" hidden="1"/>
    </xf>
    <xf numFmtId="0" fontId="0" fillId="8" borderId="9" xfId="0" applyFill="1" applyBorder="1" applyAlignment="1" applyProtection="1">
      <alignment horizontal="center"/>
      <protection locked="0" hidden="1"/>
    </xf>
    <xf numFmtId="0" fontId="8" fillId="2" borderId="0" xfId="0" applyFont="1" applyFill="1" applyAlignment="1" applyProtection="1">
      <alignment wrapText="1"/>
      <protection hidden="1"/>
    </xf>
    <xf numFmtId="0" fontId="8" fillId="2" borderId="7" xfId="0" applyFont="1" applyFill="1" applyBorder="1" applyAlignment="1" applyProtection="1">
      <alignment wrapText="1"/>
      <protection hidden="1"/>
    </xf>
    <xf numFmtId="0" fontId="13" fillId="2" borderId="0" xfId="0" applyFont="1" applyFill="1" applyProtection="1">
      <protection hidden="1"/>
    </xf>
    <xf numFmtId="0" fontId="0" fillId="2" borderId="0" xfId="0" applyFill="1" applyAlignment="1" applyProtection="1">
      <alignment horizontal="center" vertical="center" wrapText="1"/>
      <protection hidden="1"/>
    </xf>
    <xf numFmtId="170" fontId="14" fillId="2" borderId="0" xfId="0" applyNumberFormat="1" applyFont="1" applyFill="1" applyAlignment="1" applyProtection="1">
      <alignment horizontal="center"/>
      <protection hidden="1"/>
    </xf>
    <xf numFmtId="0" fontId="15" fillId="4" borderId="0" xfId="0" applyFont="1" applyFill="1" applyProtection="1">
      <protection hidden="1"/>
    </xf>
    <xf numFmtId="0" fontId="8" fillId="2" borderId="0" xfId="0" applyFont="1" applyFill="1" applyAlignment="1" applyProtection="1">
      <alignment vertical="top" wrapText="1"/>
      <protection hidden="1"/>
    </xf>
    <xf numFmtId="0" fontId="0" fillId="2" borderId="4" xfId="0" applyFill="1" applyBorder="1" applyProtection="1">
      <protection hidden="1"/>
    </xf>
    <xf numFmtId="0" fontId="0" fillId="2" borderId="5" xfId="0" applyFill="1" applyBorder="1" applyAlignment="1" applyProtection="1">
      <alignment horizontal="center"/>
      <protection hidden="1"/>
    </xf>
    <xf numFmtId="168" fontId="0" fillId="7" borderId="5" xfId="0" applyNumberFormat="1" applyFill="1" applyBorder="1" applyAlignment="1" applyProtection="1">
      <alignment horizontal="center"/>
      <protection hidden="1"/>
    </xf>
    <xf numFmtId="170" fontId="14" fillId="0" borderId="0" xfId="0" applyNumberFormat="1" applyFont="1" applyAlignment="1" applyProtection="1">
      <alignment horizontal="center"/>
      <protection hidden="1"/>
    </xf>
    <xf numFmtId="44" fontId="3" fillId="0" borderId="13" xfId="1" applyFont="1" applyFill="1" applyBorder="1" applyProtection="1">
      <protection hidden="1"/>
    </xf>
    <xf numFmtId="44" fontId="0" fillId="3" borderId="0" xfId="1" applyFont="1" applyFill="1" applyProtection="1">
      <protection hidden="1"/>
    </xf>
    <xf numFmtId="44" fontId="0" fillId="10" borderId="0" xfId="1" applyFont="1" applyFill="1" applyProtection="1">
      <protection hidden="1"/>
    </xf>
    <xf numFmtId="0" fontId="0" fillId="10" borderId="0" xfId="0" applyFill="1" applyProtection="1">
      <protection hidden="1"/>
    </xf>
    <xf numFmtId="170" fontId="14" fillId="3" borderId="0" xfId="0" applyNumberFormat="1" applyFont="1" applyFill="1" applyAlignment="1" applyProtection="1">
      <alignment horizontal="center"/>
      <protection hidden="1"/>
    </xf>
    <xf numFmtId="0" fontId="0" fillId="3" borderId="12" xfId="0" applyFill="1" applyBorder="1" applyAlignment="1" applyProtection="1">
      <alignment horizontal="center"/>
      <protection hidden="1"/>
    </xf>
    <xf numFmtId="44" fontId="3" fillId="3" borderId="9" xfId="1" applyFont="1" applyFill="1" applyBorder="1" applyProtection="1">
      <protection hidden="1"/>
    </xf>
    <xf numFmtId="44" fontId="0" fillId="3" borderId="9" xfId="0" applyNumberFormat="1" applyFill="1" applyBorder="1" applyProtection="1">
      <protection hidden="1"/>
    </xf>
    <xf numFmtId="44" fontId="2" fillId="3" borderId="9" xfId="1" applyFont="1" applyFill="1" applyBorder="1" applyProtection="1">
      <protection hidden="1"/>
    </xf>
    <xf numFmtId="0" fontId="0" fillId="3" borderId="9" xfId="0" applyFill="1" applyBorder="1" applyAlignment="1" applyProtection="1">
      <alignment horizontal="center"/>
      <protection locked="0" hidden="1"/>
    </xf>
    <xf numFmtId="0" fontId="2" fillId="3" borderId="0" xfId="0" applyFont="1" applyFill="1" applyProtection="1">
      <protection hidden="1"/>
    </xf>
    <xf numFmtId="44" fontId="2" fillId="0" borderId="0" xfId="1" applyFont="1" applyFill="1" applyProtection="1">
      <protection hidden="1"/>
    </xf>
    <xf numFmtId="44" fontId="3" fillId="0" borderId="15" xfId="1" applyFont="1" applyFill="1" applyBorder="1" applyProtection="1">
      <protection hidden="1"/>
    </xf>
    <xf numFmtId="44" fontId="0" fillId="0" borderId="15" xfId="0" applyNumberFormat="1" applyBorder="1" applyProtection="1">
      <protection hidden="1"/>
    </xf>
    <xf numFmtId="0" fontId="0" fillId="0" borderId="15" xfId="0" applyBorder="1" applyAlignment="1" applyProtection="1">
      <alignment horizontal="center"/>
      <protection locked="0" hidden="1"/>
    </xf>
    <xf numFmtId="44" fontId="3" fillId="0" borderId="16" xfId="1" applyFont="1" applyFill="1" applyBorder="1" applyProtection="1">
      <protection hidden="1"/>
    </xf>
    <xf numFmtId="0" fontId="0" fillId="2" borderId="0" xfId="0" applyFill="1" applyAlignment="1" applyProtection="1">
      <alignment horizontal="center"/>
      <protection hidden="1"/>
    </xf>
    <xf numFmtId="0" fontId="4" fillId="4" borderId="19" xfId="0" applyFont="1" applyFill="1" applyBorder="1" applyAlignment="1" applyProtection="1">
      <alignment horizontal="center" vertical="center" wrapText="1"/>
      <protection hidden="1"/>
    </xf>
    <xf numFmtId="44" fontId="1" fillId="2" borderId="0" xfId="1" applyFont="1" applyFill="1" applyBorder="1" applyProtection="1">
      <protection hidden="1"/>
    </xf>
    <xf numFmtId="0" fontId="0" fillId="7" borderId="11" xfId="0" applyFill="1" applyBorder="1" applyAlignment="1" applyProtection="1">
      <alignment horizontal="center"/>
      <protection hidden="1"/>
    </xf>
    <xf numFmtId="0" fontId="0" fillId="7" borderId="9" xfId="0" applyFill="1" applyBorder="1" applyAlignment="1" applyProtection="1">
      <alignment horizontal="center"/>
      <protection hidden="1"/>
    </xf>
    <xf numFmtId="1" fontId="0" fillId="2" borderId="9" xfId="1" applyNumberFormat="1" applyFont="1" applyFill="1" applyBorder="1" applyAlignment="1" applyProtection="1">
      <alignment horizontal="center"/>
      <protection hidden="1"/>
    </xf>
    <xf numFmtId="1" fontId="2" fillId="2" borderId="9" xfId="1" applyNumberFormat="1" applyFont="1" applyFill="1" applyBorder="1" applyAlignment="1" applyProtection="1">
      <alignment horizontal="center"/>
      <protection hidden="1"/>
    </xf>
    <xf numFmtId="1" fontId="2" fillId="0" borderId="9" xfId="1" applyNumberFormat="1" applyFont="1" applyFill="1" applyBorder="1" applyAlignment="1" applyProtection="1">
      <alignment horizontal="center"/>
      <protection hidden="1"/>
    </xf>
    <xf numFmtId="1" fontId="2" fillId="0" borderId="15" xfId="1" applyNumberFormat="1" applyFont="1" applyFill="1" applyBorder="1" applyAlignment="1" applyProtection="1">
      <alignment horizontal="center"/>
      <protection hidden="1"/>
    </xf>
    <xf numFmtId="14" fontId="0" fillId="7" borderId="0" xfId="0" applyNumberFormat="1" applyFill="1" applyAlignment="1" applyProtection="1">
      <alignment horizontal="center"/>
      <protection hidden="1"/>
    </xf>
    <xf numFmtId="9" fontId="16" fillId="2" borderId="0" xfId="0" applyNumberFormat="1" applyFont="1" applyFill="1" applyProtection="1">
      <protection hidden="1"/>
    </xf>
    <xf numFmtId="0" fontId="1" fillId="2" borderId="0" xfId="0" applyFont="1" applyFill="1" applyProtection="1">
      <protection hidden="1"/>
    </xf>
    <xf numFmtId="44" fontId="1" fillId="6" borderId="3" xfId="1" applyFont="1" applyFill="1" applyBorder="1" applyProtection="1">
      <protection hidden="1"/>
    </xf>
    <xf numFmtId="44" fontId="1" fillId="6" borderId="5" xfId="1" applyFont="1" applyFill="1" applyBorder="1" applyProtection="1">
      <protection hidden="1"/>
    </xf>
    <xf numFmtId="0" fontId="1" fillId="6" borderId="5" xfId="0" applyFont="1" applyFill="1" applyBorder="1" applyProtection="1">
      <protection hidden="1"/>
    </xf>
    <xf numFmtId="44" fontId="1" fillId="6" borderId="5" xfId="0" applyNumberFormat="1" applyFont="1" applyFill="1" applyBorder="1" applyProtection="1">
      <protection hidden="1"/>
    </xf>
    <xf numFmtId="44" fontId="1" fillId="2" borderId="5" xfId="1" applyFont="1" applyFill="1" applyBorder="1" applyProtection="1">
      <protection hidden="1"/>
    </xf>
    <xf numFmtId="44" fontId="1" fillId="2" borderId="8" xfId="1" applyFont="1" applyFill="1" applyBorder="1" applyProtection="1">
      <protection hidden="1"/>
    </xf>
    <xf numFmtId="1" fontId="2" fillId="3" borderId="9" xfId="1" applyNumberFormat="1" applyFont="1" applyFill="1" applyBorder="1" applyAlignment="1" applyProtection="1">
      <alignment horizontal="center"/>
      <protection hidden="1"/>
    </xf>
    <xf numFmtId="0" fontId="1" fillId="2" borderId="4" xfId="0" applyFont="1" applyFill="1" applyBorder="1" applyProtection="1">
      <protection hidden="1"/>
    </xf>
    <xf numFmtId="44" fontId="1" fillId="2" borderId="5" xfId="0" applyNumberFormat="1" applyFont="1" applyFill="1" applyBorder="1" applyProtection="1">
      <protection hidden="1"/>
    </xf>
    <xf numFmtId="0" fontId="18" fillId="2" borderId="0" xfId="0" applyFont="1" applyFill="1" applyProtection="1">
      <protection hidden="1"/>
    </xf>
    <xf numFmtId="0" fontId="18" fillId="2" borderId="0" xfId="0" applyFont="1" applyFill="1" applyProtection="1">
      <protection locked="0"/>
    </xf>
    <xf numFmtId="0" fontId="19" fillId="2" borderId="0" xfId="0" applyFont="1" applyFill="1" applyProtection="1">
      <protection hidden="1"/>
    </xf>
    <xf numFmtId="0" fontId="19" fillId="2" borderId="0" xfId="0" applyFont="1" applyFill="1" applyAlignment="1" applyProtection="1">
      <alignment wrapText="1"/>
      <protection hidden="1"/>
    </xf>
    <xf numFmtId="164" fontId="18" fillId="2" borderId="0" xfId="0" applyNumberFormat="1" applyFont="1" applyFill="1" applyProtection="1">
      <protection hidden="1"/>
    </xf>
    <xf numFmtId="9" fontId="18" fillId="2" borderId="0" xfId="0" applyNumberFormat="1" applyFont="1" applyFill="1" applyProtection="1">
      <protection hidden="1"/>
    </xf>
    <xf numFmtId="167" fontId="18" fillId="2" borderId="0" xfId="0" applyNumberFormat="1" applyFont="1" applyFill="1" applyProtection="1">
      <protection hidden="1"/>
    </xf>
    <xf numFmtId="165" fontId="18" fillId="2" borderId="0" xfId="0" applyNumberFormat="1" applyFont="1" applyFill="1" applyProtection="1">
      <protection hidden="1"/>
    </xf>
    <xf numFmtId="0" fontId="1" fillId="6" borderId="4" xfId="0" applyFont="1" applyFill="1" applyBorder="1" applyProtection="1">
      <protection locked="0"/>
    </xf>
    <xf numFmtId="0" fontId="1" fillId="6" borderId="0" xfId="0" applyFont="1" applyFill="1" applyProtection="1">
      <protection locked="0"/>
    </xf>
    <xf numFmtId="0" fontId="1" fillId="2" borderId="6" xfId="0" applyFont="1" applyFill="1" applyBorder="1" applyProtection="1">
      <protection locked="0"/>
    </xf>
    <xf numFmtId="9" fontId="0" fillId="2" borderId="7" xfId="2" applyFont="1" applyFill="1" applyBorder="1" applyProtection="1">
      <protection locked="0"/>
    </xf>
    <xf numFmtId="0" fontId="19" fillId="2" borderId="0" xfId="0" applyFont="1" applyFill="1" applyAlignment="1" applyProtection="1">
      <alignment horizontal="left" vertical="center" wrapText="1"/>
      <protection hidden="1"/>
    </xf>
    <xf numFmtId="167" fontId="18" fillId="0" borderId="0" xfId="0" applyNumberFormat="1" applyFont="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167" fontId="18" fillId="2" borderId="0" xfId="0" applyNumberFormat="1" applyFont="1" applyFill="1" applyAlignment="1" applyProtection="1">
      <alignment horizontal="center"/>
      <protection hidden="1"/>
    </xf>
    <xf numFmtId="0" fontId="18" fillId="2" borderId="1" xfId="0" applyFont="1" applyFill="1" applyBorder="1" applyProtection="1">
      <protection locked="0"/>
    </xf>
    <xf numFmtId="0" fontId="18" fillId="2" borderId="4" xfId="0" applyFont="1" applyFill="1" applyBorder="1" applyProtection="1">
      <protection locked="0"/>
    </xf>
    <xf numFmtId="0" fontId="18" fillId="2" borderId="6" xfId="0" applyFont="1" applyFill="1" applyBorder="1" applyProtection="1">
      <protection locked="0"/>
    </xf>
    <xf numFmtId="44" fontId="0" fillId="0" borderId="0" xfId="1" applyFont="1" applyFill="1" applyAlignment="1" applyProtection="1">
      <alignment vertical="center"/>
      <protection hidden="1"/>
    </xf>
    <xf numFmtId="44" fontId="1" fillId="0" borderId="5" xfId="0" applyNumberFormat="1" applyFont="1" applyBorder="1" applyProtection="1">
      <protection hidden="1"/>
    </xf>
    <xf numFmtId="0" fontId="19" fillId="2" borderId="0" xfId="0" applyFont="1" applyFill="1" applyAlignment="1" applyProtection="1">
      <alignment vertical="center" wrapText="1"/>
      <protection hidden="1"/>
    </xf>
    <xf numFmtId="0" fontId="19" fillId="2" borderId="0" xfId="0" applyFont="1" applyFill="1" applyProtection="1">
      <protection locked="0"/>
    </xf>
    <xf numFmtId="44" fontId="3" fillId="0" borderId="9" xfId="1" applyFont="1" applyFill="1" applyBorder="1" applyProtection="1">
      <protection hidden="1"/>
    </xf>
    <xf numFmtId="44" fontId="0" fillId="0" borderId="9" xfId="0" applyNumberFormat="1" applyBorder="1" applyProtection="1">
      <protection hidden="1"/>
    </xf>
    <xf numFmtId="1" fontId="0" fillId="0" borderId="9" xfId="0" applyNumberFormat="1" applyBorder="1" applyAlignment="1" applyProtection="1">
      <alignment horizontal="center"/>
      <protection hidden="1"/>
    </xf>
    <xf numFmtId="0" fontId="0" fillId="0" borderId="9" xfId="0" applyBorder="1" applyAlignment="1" applyProtection="1">
      <alignment horizontal="center"/>
      <protection locked="0" hidden="1"/>
    </xf>
    <xf numFmtId="44" fontId="0" fillId="0" borderId="9" xfId="1" applyFont="1" applyFill="1" applyBorder="1" applyProtection="1">
      <protection hidden="1"/>
    </xf>
    <xf numFmtId="1" fontId="0" fillId="0" borderId="9" xfId="1" applyNumberFormat="1" applyFont="1" applyFill="1" applyBorder="1" applyAlignment="1" applyProtection="1">
      <alignment horizontal="center"/>
      <protection hidden="1"/>
    </xf>
    <xf numFmtId="0" fontId="21" fillId="2" borderId="0" xfId="0" applyFont="1" applyFill="1" applyProtection="1">
      <protection hidden="1"/>
    </xf>
    <xf numFmtId="0" fontId="20" fillId="2" borderId="0" xfId="0" applyFont="1" applyFill="1" applyProtection="1">
      <protection hidden="1"/>
    </xf>
    <xf numFmtId="0" fontId="22" fillId="2" borderId="18" xfId="0" applyFont="1" applyFill="1" applyBorder="1" applyAlignment="1" applyProtection="1">
      <alignment horizontal="center" vertical="center" wrapText="1"/>
      <protection hidden="1"/>
    </xf>
    <xf numFmtId="44" fontId="20" fillId="2" borderId="11" xfId="0" applyNumberFormat="1" applyFont="1" applyFill="1" applyBorder="1" applyProtection="1">
      <protection hidden="1"/>
    </xf>
    <xf numFmtId="44" fontId="20" fillId="2" borderId="9" xfId="0" applyNumberFormat="1" applyFont="1" applyFill="1" applyBorder="1" applyProtection="1">
      <protection hidden="1"/>
    </xf>
    <xf numFmtId="44" fontId="20" fillId="2" borderId="15" xfId="0" applyNumberFormat="1" applyFont="1" applyFill="1" applyBorder="1" applyProtection="1">
      <protection hidden="1"/>
    </xf>
    <xf numFmtId="0" fontId="11" fillId="2" borderId="0" xfId="0" applyFont="1" applyFill="1" applyProtection="1">
      <protection hidden="1"/>
    </xf>
    <xf numFmtId="44" fontId="0" fillId="2" borderId="0" xfId="1" applyFont="1" applyFill="1" applyBorder="1" applyProtection="1">
      <protection hidden="1"/>
    </xf>
    <xf numFmtId="44" fontId="1" fillId="2" borderId="0" xfId="0" applyNumberFormat="1" applyFont="1" applyFill="1" applyProtection="1">
      <protection hidden="1"/>
    </xf>
    <xf numFmtId="44" fontId="22" fillId="2" borderId="0" xfId="0" applyNumberFormat="1" applyFont="1" applyFill="1" applyProtection="1">
      <protection hidden="1"/>
    </xf>
    <xf numFmtId="9" fontId="18" fillId="2" borderId="65" xfId="0" applyNumberFormat="1" applyFont="1" applyFill="1" applyBorder="1" applyAlignment="1" applyProtection="1">
      <alignment horizontal="center"/>
      <protection hidden="1"/>
    </xf>
    <xf numFmtId="9" fontId="18" fillId="2" borderId="66" xfId="0" applyNumberFormat="1" applyFont="1" applyFill="1" applyBorder="1" applyAlignment="1" applyProtection="1">
      <alignment horizontal="center"/>
      <protection hidden="1"/>
    </xf>
    <xf numFmtId="9" fontId="18" fillId="2" borderId="67" xfId="0" applyNumberFormat="1" applyFont="1" applyFill="1" applyBorder="1" applyAlignment="1" applyProtection="1">
      <alignment horizontal="center"/>
      <protection hidden="1"/>
    </xf>
    <xf numFmtId="164" fontId="18" fillId="2" borderId="65" xfId="0" applyNumberFormat="1" applyFont="1" applyFill="1" applyBorder="1" applyAlignment="1" applyProtection="1">
      <alignment horizontal="center"/>
      <protection hidden="1"/>
    </xf>
    <xf numFmtId="164" fontId="18" fillId="2" borderId="66" xfId="0" applyNumberFormat="1" applyFont="1" applyFill="1" applyBorder="1" applyAlignment="1" applyProtection="1">
      <alignment horizontal="center"/>
      <protection hidden="1"/>
    </xf>
    <xf numFmtId="164" fontId="18" fillId="2" borderId="67" xfId="0" applyNumberFormat="1" applyFont="1" applyFill="1" applyBorder="1" applyAlignment="1" applyProtection="1">
      <alignment horizontal="center"/>
      <protection hidden="1"/>
    </xf>
    <xf numFmtId="167" fontId="18" fillId="2" borderId="65" xfId="0" applyNumberFormat="1" applyFont="1" applyFill="1" applyBorder="1" applyAlignment="1" applyProtection="1">
      <alignment horizontal="center"/>
      <protection hidden="1"/>
    </xf>
    <xf numFmtId="167" fontId="18" fillId="2" borderId="66" xfId="0" applyNumberFormat="1" applyFont="1" applyFill="1" applyBorder="1" applyAlignment="1" applyProtection="1">
      <alignment horizontal="center"/>
      <protection hidden="1"/>
    </xf>
    <xf numFmtId="167" fontId="18" fillId="2" borderId="67" xfId="0" applyNumberFormat="1" applyFont="1" applyFill="1" applyBorder="1" applyAlignment="1" applyProtection="1">
      <alignment horizontal="center"/>
      <protection hidden="1"/>
    </xf>
    <xf numFmtId="0" fontId="18" fillId="2" borderId="65" xfId="0" applyFont="1" applyFill="1" applyBorder="1" applyAlignment="1" applyProtection="1">
      <alignment horizontal="center"/>
      <protection hidden="1"/>
    </xf>
    <xf numFmtId="0" fontId="18" fillId="2" borderId="66" xfId="0" applyFont="1" applyFill="1" applyBorder="1" applyAlignment="1" applyProtection="1">
      <alignment horizontal="center"/>
      <protection hidden="1"/>
    </xf>
    <xf numFmtId="0" fontId="18" fillId="2" borderId="67" xfId="0" applyFont="1" applyFill="1" applyBorder="1" applyAlignment="1" applyProtection="1">
      <alignment horizontal="center"/>
      <protection hidden="1"/>
    </xf>
    <xf numFmtId="0" fontId="18" fillId="0" borderId="29" xfId="0" applyFont="1" applyBorder="1" applyAlignment="1" applyProtection="1">
      <alignment horizontal="center" wrapText="1"/>
      <protection locked="0"/>
    </xf>
    <xf numFmtId="0" fontId="18" fillId="0" borderId="36" xfId="0" applyFont="1" applyBorder="1" applyAlignment="1" applyProtection="1">
      <alignment horizontal="center" wrapText="1"/>
      <protection locked="0"/>
    </xf>
    <xf numFmtId="0" fontId="18" fillId="0" borderId="43" xfId="0" applyFont="1" applyBorder="1" applyAlignment="1" applyProtection="1">
      <alignment horizontal="center" wrapText="1"/>
      <protection locked="0"/>
    </xf>
    <xf numFmtId="166" fontId="18" fillId="2" borderId="44" xfId="0" applyNumberFormat="1" applyFont="1" applyFill="1" applyBorder="1" applyAlignment="1" applyProtection="1">
      <alignment horizontal="center" wrapText="1"/>
      <protection hidden="1"/>
    </xf>
    <xf numFmtId="166" fontId="18" fillId="2" borderId="45" xfId="0" applyNumberFormat="1" applyFont="1" applyFill="1" applyBorder="1" applyAlignment="1" applyProtection="1">
      <alignment horizontal="center" wrapText="1"/>
      <protection hidden="1"/>
    </xf>
    <xf numFmtId="166" fontId="18" fillId="2" borderId="46" xfId="0" applyNumberFormat="1" applyFont="1" applyFill="1" applyBorder="1" applyAlignment="1" applyProtection="1">
      <alignment horizontal="center" wrapText="1"/>
      <protection hidden="1"/>
    </xf>
    <xf numFmtId="9" fontId="19" fillId="2" borderId="0" xfId="0" applyNumberFormat="1" applyFont="1" applyFill="1" applyAlignment="1" applyProtection="1">
      <alignment horizontal="center"/>
      <protection hidden="1"/>
    </xf>
    <xf numFmtId="0" fontId="19" fillId="2" borderId="0" xfId="0" applyFont="1" applyFill="1" applyAlignment="1" applyProtection="1">
      <alignment horizontal="center"/>
      <protection hidden="1"/>
    </xf>
    <xf numFmtId="164" fontId="19" fillId="2" borderId="0" xfId="0" applyNumberFormat="1" applyFont="1" applyFill="1" applyAlignment="1" applyProtection="1">
      <alignment horizontal="center"/>
      <protection hidden="1"/>
    </xf>
    <xf numFmtId="167" fontId="18" fillId="2" borderId="41" xfId="0" applyNumberFormat="1" applyFont="1" applyFill="1" applyBorder="1" applyAlignment="1" applyProtection="1">
      <alignment horizontal="center" wrapText="1"/>
      <protection hidden="1"/>
    </xf>
    <xf numFmtId="167" fontId="18" fillId="2" borderId="55" xfId="0" applyNumberFormat="1" applyFont="1" applyFill="1" applyBorder="1" applyAlignment="1" applyProtection="1">
      <alignment horizontal="center" wrapText="1"/>
      <protection hidden="1"/>
    </xf>
    <xf numFmtId="167" fontId="18" fillId="2" borderId="56" xfId="0" applyNumberFormat="1" applyFont="1" applyFill="1" applyBorder="1" applyAlignment="1" applyProtection="1">
      <alignment horizontal="center" wrapText="1"/>
      <protection hidden="1"/>
    </xf>
    <xf numFmtId="167" fontId="19" fillId="2" borderId="0" xfId="0" applyNumberFormat="1" applyFont="1" applyFill="1" applyAlignment="1" applyProtection="1">
      <alignment horizontal="center"/>
      <protection hidden="1"/>
    </xf>
    <xf numFmtId="0" fontId="19" fillId="5" borderId="58" xfId="0" applyFont="1" applyFill="1" applyBorder="1" applyAlignment="1" applyProtection="1">
      <alignment horizontal="center" wrapText="1"/>
      <protection hidden="1"/>
    </xf>
    <xf numFmtId="0" fontId="19" fillId="5" borderId="59" xfId="0" applyFont="1" applyFill="1" applyBorder="1" applyAlignment="1" applyProtection="1">
      <alignment horizontal="center" wrapText="1"/>
      <protection hidden="1"/>
    </xf>
    <xf numFmtId="0" fontId="19" fillId="5" borderId="61" xfId="0" applyFont="1" applyFill="1" applyBorder="1" applyAlignment="1" applyProtection="1">
      <alignment horizontal="center" wrapText="1"/>
      <protection hidden="1"/>
    </xf>
    <xf numFmtId="0" fontId="19" fillId="5" borderId="62" xfId="0" applyFont="1" applyFill="1" applyBorder="1" applyAlignment="1" applyProtection="1">
      <alignment horizontal="center"/>
      <protection hidden="1"/>
    </xf>
    <xf numFmtId="0" fontId="19" fillId="5" borderId="63" xfId="0" applyFont="1" applyFill="1" applyBorder="1" applyAlignment="1" applyProtection="1">
      <alignment horizontal="center"/>
      <protection hidden="1"/>
    </xf>
    <xf numFmtId="0" fontId="19" fillId="5" borderId="64" xfId="0" applyFont="1" applyFill="1" applyBorder="1" applyAlignment="1" applyProtection="1">
      <alignment horizontal="center"/>
      <protection hidden="1"/>
    </xf>
    <xf numFmtId="0" fontId="18" fillId="0" borderId="58" xfId="0" applyFont="1" applyBorder="1" applyAlignment="1" applyProtection="1">
      <alignment horizontal="center"/>
      <protection hidden="1"/>
    </xf>
    <xf numFmtId="0" fontId="18" fillId="0" borderId="59" xfId="0" applyFont="1" applyBorder="1" applyAlignment="1" applyProtection="1">
      <alignment horizontal="center"/>
      <protection hidden="1"/>
    </xf>
    <xf numFmtId="0" fontId="18" fillId="0" borderId="61" xfId="0" applyFont="1" applyBorder="1" applyAlignment="1" applyProtection="1">
      <alignment horizontal="center"/>
      <protection hidden="1"/>
    </xf>
    <xf numFmtId="165" fontId="19" fillId="2" borderId="0" xfId="0" applyNumberFormat="1" applyFont="1" applyFill="1" applyAlignment="1" applyProtection="1">
      <alignment horizontal="center"/>
      <protection hidden="1"/>
    </xf>
    <xf numFmtId="0" fontId="19" fillId="11" borderId="57" xfId="0" applyFont="1" applyFill="1" applyBorder="1" applyAlignment="1" applyProtection="1">
      <alignment horizontal="center" vertical="center" wrapText="1"/>
      <protection hidden="1"/>
    </xf>
    <xf numFmtId="0" fontId="19" fillId="11" borderId="19" xfId="0" applyFont="1" applyFill="1" applyBorder="1" applyAlignment="1" applyProtection="1">
      <alignment horizontal="center" vertical="center" wrapText="1"/>
      <protection hidden="1"/>
    </xf>
    <xf numFmtId="0" fontId="19" fillId="11" borderId="60" xfId="0" applyFont="1" applyFill="1" applyBorder="1" applyAlignment="1" applyProtection="1">
      <alignment horizontal="center" vertical="center" wrapText="1"/>
      <protection hidden="1"/>
    </xf>
    <xf numFmtId="167" fontId="18" fillId="2" borderId="62" xfId="0" applyNumberFormat="1" applyFont="1" applyFill="1" applyBorder="1" applyAlignment="1" applyProtection="1">
      <alignment horizontal="center"/>
      <protection hidden="1"/>
    </xf>
    <xf numFmtId="167" fontId="18" fillId="2" borderId="63" xfId="0" applyNumberFormat="1" applyFont="1" applyFill="1" applyBorder="1" applyAlignment="1" applyProtection="1">
      <alignment horizontal="center"/>
      <protection hidden="1"/>
    </xf>
    <xf numFmtId="167" fontId="18" fillId="2" borderId="64" xfId="0" applyNumberFormat="1" applyFont="1" applyFill="1" applyBorder="1" applyAlignment="1" applyProtection="1">
      <alignment horizontal="center"/>
      <protection hidden="1"/>
    </xf>
    <xf numFmtId="165" fontId="18" fillId="2" borderId="58" xfId="0" applyNumberFormat="1" applyFont="1" applyFill="1" applyBorder="1" applyAlignment="1" applyProtection="1">
      <alignment horizontal="center"/>
      <protection hidden="1"/>
    </xf>
    <xf numFmtId="165" fontId="18" fillId="2" borderId="59" xfId="0" applyNumberFormat="1" applyFont="1" applyFill="1" applyBorder="1" applyAlignment="1" applyProtection="1">
      <alignment horizontal="center"/>
      <protection hidden="1"/>
    </xf>
    <xf numFmtId="165" fontId="18" fillId="2" borderId="61" xfId="0" applyNumberFormat="1" applyFont="1" applyFill="1" applyBorder="1" applyAlignment="1" applyProtection="1">
      <alignment horizontal="center"/>
      <protection hidden="1"/>
    </xf>
    <xf numFmtId="165" fontId="18" fillId="2" borderId="65" xfId="0" applyNumberFormat="1" applyFont="1" applyFill="1" applyBorder="1" applyAlignment="1" applyProtection="1">
      <alignment horizontal="center"/>
      <protection hidden="1"/>
    </xf>
    <xf numFmtId="165" fontId="18" fillId="2" borderId="66" xfId="0" applyNumberFormat="1" applyFont="1" applyFill="1" applyBorder="1" applyAlignment="1" applyProtection="1">
      <alignment horizontal="center"/>
      <protection hidden="1"/>
    </xf>
    <xf numFmtId="165" fontId="18" fillId="2" borderId="67" xfId="0" applyNumberFormat="1" applyFont="1" applyFill="1" applyBorder="1" applyAlignment="1" applyProtection="1">
      <alignment horizontal="center"/>
      <protection hidden="1"/>
    </xf>
    <xf numFmtId="165" fontId="18" fillId="2" borderId="62" xfId="0" applyNumberFormat="1" applyFont="1" applyFill="1" applyBorder="1" applyAlignment="1" applyProtection="1">
      <alignment horizontal="center"/>
      <protection hidden="1"/>
    </xf>
    <xf numFmtId="165" fontId="18" fillId="2" borderId="63" xfId="0" applyNumberFormat="1" applyFont="1" applyFill="1" applyBorder="1" applyAlignment="1" applyProtection="1">
      <alignment horizontal="center"/>
      <protection hidden="1"/>
    </xf>
    <xf numFmtId="165" fontId="18" fillId="2" borderId="64" xfId="0" applyNumberFormat="1" applyFont="1" applyFill="1" applyBorder="1" applyAlignment="1" applyProtection="1">
      <alignment horizontal="center"/>
      <protection hidden="1"/>
    </xf>
    <xf numFmtId="165" fontId="18" fillId="9" borderId="57" xfId="0" applyNumberFormat="1" applyFont="1" applyFill="1" applyBorder="1" applyAlignment="1" applyProtection="1">
      <alignment horizontal="center"/>
      <protection hidden="1"/>
    </xf>
    <xf numFmtId="165" fontId="18" fillId="9" borderId="19" xfId="0" applyNumberFormat="1" applyFont="1" applyFill="1" applyBorder="1" applyAlignment="1" applyProtection="1">
      <alignment horizontal="center"/>
      <protection hidden="1"/>
    </xf>
    <xf numFmtId="165" fontId="18" fillId="9" borderId="60" xfId="0" applyNumberFormat="1" applyFont="1" applyFill="1" applyBorder="1" applyAlignment="1" applyProtection="1">
      <alignment horizontal="center"/>
      <protection hidden="1"/>
    </xf>
    <xf numFmtId="0" fontId="19" fillId="4" borderId="40" xfId="0" applyFont="1" applyFill="1" applyBorder="1" applyAlignment="1" applyProtection="1">
      <alignment horizontal="left" wrapText="1"/>
      <protection hidden="1"/>
    </xf>
    <xf numFmtId="0" fontId="19" fillId="4" borderId="41" xfId="0" applyFont="1" applyFill="1" applyBorder="1" applyAlignment="1" applyProtection="1">
      <alignment horizontal="left" wrapText="1"/>
      <protection hidden="1"/>
    </xf>
    <xf numFmtId="0" fontId="19" fillId="4" borderId="37" xfId="0" applyFont="1" applyFill="1" applyBorder="1" applyAlignment="1" applyProtection="1">
      <alignment horizontal="left" wrapText="1"/>
      <protection hidden="1"/>
    </xf>
    <xf numFmtId="0" fontId="19" fillId="4" borderId="38" xfId="0" applyFont="1" applyFill="1" applyBorder="1" applyAlignment="1" applyProtection="1">
      <alignment horizontal="left" wrapText="1"/>
      <protection hidden="1"/>
    </xf>
    <xf numFmtId="0" fontId="19" fillId="4" borderId="39" xfId="0" applyFont="1" applyFill="1" applyBorder="1" applyAlignment="1" applyProtection="1">
      <alignment horizontal="left" wrapText="1"/>
      <protection hidden="1"/>
    </xf>
    <xf numFmtId="0" fontId="19" fillId="4" borderId="29" xfId="0" applyFont="1" applyFill="1" applyBorder="1" applyAlignment="1" applyProtection="1">
      <alignment horizontal="left" wrapText="1"/>
      <protection hidden="1"/>
    </xf>
    <xf numFmtId="0" fontId="19" fillId="4" borderId="39" xfId="0" applyFont="1" applyFill="1" applyBorder="1" applyAlignment="1" applyProtection="1">
      <alignment horizontal="left" vertical="center" wrapText="1"/>
      <protection hidden="1"/>
    </xf>
    <xf numFmtId="0" fontId="19" fillId="4" borderId="29" xfId="0" applyFont="1" applyFill="1" applyBorder="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19" fillId="5" borderId="21" xfId="0" applyFont="1" applyFill="1" applyBorder="1" applyAlignment="1" applyProtection="1">
      <alignment horizontal="center"/>
      <protection hidden="1"/>
    </xf>
    <xf numFmtId="0" fontId="19" fillId="5" borderId="22" xfId="0" applyFont="1" applyFill="1" applyBorder="1" applyAlignment="1" applyProtection="1">
      <alignment horizontal="center"/>
      <protection hidden="1"/>
    </xf>
    <xf numFmtId="0" fontId="19" fillId="5" borderId="23" xfId="0" applyFont="1" applyFill="1" applyBorder="1" applyAlignment="1" applyProtection="1">
      <alignment horizontal="center"/>
      <protection hidden="1"/>
    </xf>
    <xf numFmtId="0" fontId="19" fillId="5" borderId="37" xfId="0" applyFont="1" applyFill="1" applyBorder="1" applyAlignment="1" applyProtection="1">
      <alignment horizontal="center" wrapText="1"/>
      <protection hidden="1"/>
    </xf>
    <xf numFmtId="0" fontId="19" fillId="5" borderId="47" xfId="0" applyFont="1" applyFill="1" applyBorder="1" applyAlignment="1" applyProtection="1">
      <alignment horizontal="center" wrapText="1"/>
      <protection hidden="1"/>
    </xf>
    <xf numFmtId="0" fontId="19" fillId="5" borderId="48" xfId="0" applyFont="1" applyFill="1" applyBorder="1" applyAlignment="1" applyProtection="1">
      <alignment horizontal="center" wrapText="1"/>
      <protection hidden="1"/>
    </xf>
    <xf numFmtId="0" fontId="19" fillId="4" borderId="20" xfId="0" applyFont="1" applyFill="1" applyBorder="1" applyAlignment="1" applyProtection="1">
      <alignment horizontal="left" wrapText="1"/>
      <protection hidden="1"/>
    </xf>
    <xf numFmtId="0" fontId="19" fillId="4" borderId="24" xfId="0" applyFont="1" applyFill="1" applyBorder="1" applyAlignment="1" applyProtection="1">
      <alignment horizontal="left" wrapText="1"/>
      <protection hidden="1"/>
    </xf>
    <xf numFmtId="0" fontId="19" fillId="4" borderId="25" xfId="0" applyFont="1" applyFill="1" applyBorder="1" applyAlignment="1" applyProtection="1">
      <alignment horizontal="left" wrapText="1"/>
      <protection hidden="1"/>
    </xf>
    <xf numFmtId="0" fontId="19" fillId="4" borderId="26" xfId="0" applyFont="1" applyFill="1" applyBorder="1" applyAlignment="1" applyProtection="1">
      <alignment horizontal="left" wrapText="1"/>
      <protection hidden="1"/>
    </xf>
    <xf numFmtId="0" fontId="19" fillId="4" borderId="49" xfId="0" applyFont="1" applyFill="1" applyBorder="1" applyAlignment="1" applyProtection="1">
      <alignment horizontal="left" vertical="center" wrapText="1"/>
      <protection hidden="1"/>
    </xf>
    <xf numFmtId="0" fontId="19" fillId="4" borderId="30" xfId="0" applyFont="1" applyFill="1" applyBorder="1" applyAlignment="1" applyProtection="1">
      <alignment horizontal="left" vertical="center" wrapText="1"/>
      <protection hidden="1"/>
    </xf>
    <xf numFmtId="0" fontId="19" fillId="4" borderId="51" xfId="0" applyFont="1" applyFill="1" applyBorder="1" applyAlignment="1" applyProtection="1">
      <alignment horizontal="left" vertical="center" wrapText="1"/>
      <protection hidden="1"/>
    </xf>
    <xf numFmtId="0" fontId="19" fillId="4" borderId="31" xfId="0" applyFont="1" applyFill="1" applyBorder="1" applyAlignment="1" applyProtection="1">
      <alignment horizontal="left" vertical="center" wrapText="1"/>
      <protection hidden="1"/>
    </xf>
    <xf numFmtId="167" fontId="18" fillId="3" borderId="32" xfId="1" applyNumberFormat="1" applyFont="1" applyFill="1" applyBorder="1" applyAlignment="1" applyProtection="1">
      <alignment horizontal="center" vertical="center" wrapText="1"/>
      <protection locked="0"/>
    </xf>
    <xf numFmtId="167" fontId="18" fillId="3" borderId="33" xfId="1" applyNumberFormat="1" applyFont="1" applyFill="1" applyBorder="1" applyAlignment="1" applyProtection="1">
      <alignment horizontal="center" vertical="center" wrapText="1"/>
      <protection locked="0"/>
    </xf>
    <xf numFmtId="167" fontId="18" fillId="3" borderId="50" xfId="1" applyNumberFormat="1" applyFont="1" applyFill="1" applyBorder="1" applyAlignment="1" applyProtection="1">
      <alignment horizontal="center" vertical="center" wrapText="1"/>
      <protection locked="0"/>
    </xf>
    <xf numFmtId="167" fontId="18" fillId="3" borderId="34" xfId="1" applyNumberFormat="1" applyFont="1" applyFill="1" applyBorder="1" applyAlignment="1" applyProtection="1">
      <alignment horizontal="center" vertical="center" wrapText="1"/>
      <protection locked="0"/>
    </xf>
    <xf numFmtId="167" fontId="18" fillId="3" borderId="35" xfId="1" applyNumberFormat="1" applyFont="1" applyFill="1" applyBorder="1" applyAlignment="1" applyProtection="1">
      <alignment horizontal="center" vertical="center" wrapText="1"/>
      <protection locked="0"/>
    </xf>
    <xf numFmtId="167" fontId="18" fillId="3" borderId="52" xfId="1" applyNumberFormat="1" applyFont="1" applyFill="1" applyBorder="1" applyAlignment="1" applyProtection="1">
      <alignment horizontal="center" vertical="center" wrapText="1"/>
      <protection locked="0"/>
    </xf>
    <xf numFmtId="0" fontId="18" fillId="2" borderId="29" xfId="0" applyFont="1" applyFill="1" applyBorder="1" applyAlignment="1" applyProtection="1">
      <alignment horizontal="center" wrapText="1"/>
      <protection hidden="1"/>
    </xf>
    <xf numFmtId="0" fontId="18" fillId="2" borderId="36" xfId="0" applyFont="1" applyFill="1" applyBorder="1" applyAlignment="1" applyProtection="1">
      <alignment horizontal="center" wrapText="1"/>
      <protection hidden="1"/>
    </xf>
    <xf numFmtId="0" fontId="18" fillId="2" borderId="53" xfId="0" applyFont="1" applyFill="1" applyBorder="1" applyAlignment="1" applyProtection="1">
      <alignment horizontal="center" wrapText="1"/>
      <protection hidden="1"/>
    </xf>
    <xf numFmtId="0" fontId="18" fillId="0" borderId="0" xfId="0" applyFont="1" applyAlignment="1" applyProtection="1">
      <alignment horizontal="center"/>
      <protection hidden="1"/>
    </xf>
    <xf numFmtId="0" fontId="19" fillId="4" borderId="54" xfId="0" applyFont="1" applyFill="1" applyBorder="1" applyAlignment="1" applyProtection="1">
      <alignment horizontal="left" wrapText="1"/>
      <protection hidden="1"/>
    </xf>
    <xf numFmtId="0" fontId="19" fillId="4" borderId="40" xfId="0" applyFont="1" applyFill="1" applyBorder="1" applyAlignment="1" applyProtection="1">
      <alignment horizontal="left" vertical="center" wrapText="1"/>
      <protection hidden="1"/>
    </xf>
    <xf numFmtId="0" fontId="19" fillId="4" borderId="41" xfId="0" applyFont="1" applyFill="1" applyBorder="1" applyAlignment="1" applyProtection="1">
      <alignment horizontal="left" vertical="center" wrapText="1"/>
      <protection hidden="1"/>
    </xf>
    <xf numFmtId="0" fontId="19" fillId="4" borderId="37" xfId="0" applyFont="1" applyFill="1" applyBorder="1" applyAlignment="1" applyProtection="1">
      <alignment wrapText="1"/>
      <protection hidden="1"/>
    </xf>
    <xf numFmtId="0" fontId="19" fillId="4" borderId="38" xfId="0" applyFont="1" applyFill="1" applyBorder="1" applyAlignment="1" applyProtection="1">
      <alignment wrapText="1"/>
      <protection hidden="1"/>
    </xf>
    <xf numFmtId="0" fontId="19" fillId="4" borderId="42" xfId="0" applyFont="1" applyFill="1" applyBorder="1" applyAlignment="1" applyProtection="1">
      <alignment wrapText="1"/>
      <protection hidden="1"/>
    </xf>
    <xf numFmtId="0" fontId="19" fillId="4" borderId="34" xfId="0" applyFont="1" applyFill="1" applyBorder="1" applyAlignment="1" applyProtection="1">
      <alignment wrapText="1"/>
      <protection hidden="1"/>
    </xf>
    <xf numFmtId="0" fontId="1" fillId="3" borderId="7" xfId="0" applyFont="1" applyFill="1" applyBorder="1" applyAlignment="1" applyProtection="1">
      <alignment horizontal="center"/>
      <protection hidden="1"/>
    </xf>
    <xf numFmtId="0" fontId="1" fillId="3" borderId="8" xfId="0" applyFont="1" applyFill="1" applyBorder="1" applyAlignment="1" applyProtection="1">
      <alignment horizontal="center"/>
      <protection hidden="1"/>
    </xf>
    <xf numFmtId="0" fontId="12" fillId="2" borderId="0" xfId="0" applyFont="1" applyFill="1" applyAlignment="1" applyProtection="1">
      <alignment horizontal="left" wrapText="1"/>
      <protection hidden="1"/>
    </xf>
    <xf numFmtId="0" fontId="0" fillId="6" borderId="0" xfId="0" applyFill="1" applyAlignment="1" applyProtection="1">
      <alignment horizontal="left" wrapText="1"/>
      <protection hidden="1"/>
    </xf>
    <xf numFmtId="0" fontId="8" fillId="2" borderId="1" xfId="0" applyFont="1" applyFill="1" applyBorder="1" applyAlignment="1" applyProtection="1">
      <alignment horizontal="center" vertical="top" wrapText="1"/>
      <protection hidden="1"/>
    </xf>
    <xf numFmtId="0" fontId="8" fillId="2" borderId="2" xfId="0" applyFont="1" applyFill="1" applyBorder="1" applyAlignment="1" applyProtection="1">
      <alignment horizontal="center" vertical="top" wrapText="1"/>
      <protection hidden="1"/>
    </xf>
    <xf numFmtId="0" fontId="8" fillId="2" borderId="3" xfId="0" applyFont="1" applyFill="1" applyBorder="1" applyAlignment="1" applyProtection="1">
      <alignment horizontal="center" vertical="top" wrapText="1"/>
      <protection hidden="1"/>
    </xf>
    <xf numFmtId="0" fontId="8" fillId="2" borderId="6" xfId="0" applyFont="1" applyFill="1" applyBorder="1" applyAlignment="1" applyProtection="1">
      <alignment horizontal="center" vertical="top" wrapText="1"/>
      <protection hidden="1"/>
    </xf>
    <xf numFmtId="0" fontId="8" fillId="2" borderId="7" xfId="0" applyFont="1" applyFill="1" applyBorder="1" applyAlignment="1" applyProtection="1">
      <alignment horizontal="center" vertical="top" wrapText="1"/>
      <protection hidden="1"/>
    </xf>
    <xf numFmtId="0" fontId="8" fillId="2" borderId="8" xfId="0" applyFont="1" applyFill="1" applyBorder="1" applyAlignment="1" applyProtection="1">
      <alignment horizontal="center" vertical="top" wrapText="1"/>
      <protection hidden="1"/>
    </xf>
    <xf numFmtId="0" fontId="17" fillId="2" borderId="1" xfId="0" applyFont="1" applyFill="1" applyBorder="1" applyAlignment="1" applyProtection="1">
      <alignment horizontal="center"/>
      <protection hidden="1"/>
    </xf>
    <xf numFmtId="0" fontId="17" fillId="2" borderId="2" xfId="0" applyFont="1" applyFill="1" applyBorder="1" applyAlignment="1" applyProtection="1">
      <alignment horizontal="center"/>
      <protection hidden="1"/>
    </xf>
    <xf numFmtId="0" fontId="17" fillId="2" borderId="3" xfId="0" applyFont="1" applyFill="1" applyBorder="1" applyAlignment="1" applyProtection="1">
      <alignment horizontal="center"/>
      <protection hidden="1"/>
    </xf>
    <xf numFmtId="44" fontId="0" fillId="7" borderId="0" xfId="0" applyNumberFormat="1" applyFill="1" applyAlignment="1" applyProtection="1">
      <alignment horizontal="center"/>
      <protection hidden="1"/>
    </xf>
    <xf numFmtId="44" fontId="0" fillId="7" borderId="0" xfId="0" applyNumberFormat="1" applyFill="1" applyAlignment="1" applyProtection="1">
      <alignment horizontal="right"/>
      <protection hidden="1"/>
    </xf>
    <xf numFmtId="0" fontId="0" fillId="7" borderId="0" xfId="0" applyFill="1" applyAlignment="1" applyProtection="1">
      <alignment horizontal="right"/>
      <protection hidden="1"/>
    </xf>
  </cellXfs>
  <cellStyles count="4">
    <cellStyle name="Moneda" xfId="1" builtinId="4"/>
    <cellStyle name="Normal" xfId="0" builtinId="0"/>
    <cellStyle name="Normal 2" xfId="3" xr:uid="{00000000-0005-0000-0000-000002000000}"/>
    <cellStyle name="Porcentaje" xfId="2" builtinId="5"/>
  </cellStyles>
  <dxfs count="0"/>
  <tableStyles count="0" defaultTableStyle="TableStyleMedium2" defaultPivotStyle="PivotStyleLight16"/>
  <colors>
    <mruColors>
      <color rgb="FFE33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104775</xdr:colOff>
      <xdr:row>2</xdr:row>
      <xdr:rowOff>76200</xdr:rowOff>
    </xdr:from>
    <xdr:to>
      <xdr:col>16384</xdr:col>
      <xdr:colOff>9525</xdr:colOff>
      <xdr:row>9</xdr:row>
      <xdr:rowOff>17689</xdr:rowOff>
    </xdr:to>
    <xdr:pic>
      <xdr:nvPicPr>
        <xdr:cNvPr id="4" name="3 Imagen" descr="Versión Principal.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l="22556" t="33929" r="22181" b="33333"/>
        <a:stretch>
          <a:fillRect/>
        </a:stretch>
      </xdr:blipFill>
      <xdr:spPr>
        <a:xfrm>
          <a:off x="9772650" y="504825"/>
          <a:ext cx="2190750" cy="1408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142875</xdr:colOff>
      <xdr:row>4</xdr:row>
      <xdr:rowOff>107158</xdr:rowOff>
    </xdr:from>
    <xdr:to>
      <xdr:col>11</xdr:col>
      <xdr:colOff>1107281</xdr:colOff>
      <xdr:row>10</xdr:row>
      <xdr:rowOff>71380</xdr:rowOff>
    </xdr:to>
    <xdr:pic>
      <xdr:nvPicPr>
        <xdr:cNvPr id="3" name="2 Imagen" descr="Versión Principal.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rcRect l="23704" t="36450" r="22870" b="36473"/>
        <a:stretch>
          <a:fillRect/>
        </a:stretch>
      </xdr:blipFill>
      <xdr:spPr>
        <a:xfrm>
          <a:off x="12561094" y="1023939"/>
          <a:ext cx="2226468" cy="11286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S43"/>
  <sheetViews>
    <sheetView tabSelected="1" topLeftCell="B8" zoomScale="88" zoomScaleNormal="88" workbookViewId="0">
      <selection activeCell="D10" sqref="D10:L10"/>
    </sheetView>
  </sheetViews>
  <sheetFormatPr baseColWidth="10" defaultColWidth="0" defaultRowHeight="14" zeroHeight="1" x14ac:dyDescent="0.3"/>
  <cols>
    <col min="1" max="1" width="2.81640625" style="100" hidden="1" customWidth="1"/>
    <col min="2" max="2" width="19.54296875" style="100" customWidth="1"/>
    <col min="3" max="3" width="22.54296875" style="100" customWidth="1"/>
    <col min="4" max="15" width="11.453125" style="100" customWidth="1"/>
    <col min="16" max="17" width="11.453125" style="100" hidden="1" customWidth="1"/>
    <col min="18" max="19" width="0" style="100" hidden="1" customWidth="1"/>
    <col min="20" max="16384" width="11.453125" style="100" hidden="1"/>
  </cols>
  <sheetData>
    <row r="1" spans="2:16" ht="14.5" thickBot="1" x14ac:dyDescent="0.35">
      <c r="B1" s="99"/>
      <c r="C1" s="99"/>
      <c r="D1" s="99"/>
      <c r="E1" s="99"/>
      <c r="F1" s="99"/>
      <c r="G1" s="99"/>
      <c r="H1" s="99"/>
      <c r="I1" s="99"/>
      <c r="J1" s="99"/>
      <c r="K1" s="99"/>
      <c r="L1" s="99"/>
      <c r="M1" s="99"/>
      <c r="N1" s="99"/>
      <c r="O1" s="99"/>
      <c r="P1" s="99"/>
    </row>
    <row r="2" spans="2:16" x14ac:dyDescent="0.3">
      <c r="B2" s="200" t="s">
        <v>10</v>
      </c>
      <c r="C2" s="201"/>
      <c r="D2" s="201"/>
      <c r="E2" s="201"/>
      <c r="F2" s="201"/>
      <c r="G2" s="201"/>
      <c r="H2" s="201"/>
      <c r="I2" s="201"/>
      <c r="J2" s="201"/>
      <c r="K2" s="201"/>
      <c r="L2" s="202"/>
      <c r="M2" s="99"/>
      <c r="N2" s="99"/>
      <c r="O2" s="99"/>
      <c r="P2" s="99"/>
    </row>
    <row r="3" spans="2:16" x14ac:dyDescent="0.3">
      <c r="B3" s="207" t="s">
        <v>11</v>
      </c>
      <c r="C3" s="206"/>
      <c r="D3" s="150"/>
      <c r="E3" s="151"/>
      <c r="F3" s="151"/>
      <c r="G3" s="151"/>
      <c r="H3" s="151"/>
      <c r="I3" s="151"/>
      <c r="J3" s="151"/>
      <c r="K3" s="151"/>
      <c r="L3" s="152"/>
      <c r="M3" s="99"/>
      <c r="N3" s="99"/>
      <c r="O3" s="99"/>
      <c r="P3" s="99"/>
    </row>
    <row r="4" spans="2:16" x14ac:dyDescent="0.3">
      <c r="B4" s="207" t="s">
        <v>12</v>
      </c>
      <c r="C4" s="206"/>
      <c r="D4" s="150"/>
      <c r="E4" s="151"/>
      <c r="F4" s="151"/>
      <c r="G4" s="151"/>
      <c r="H4" s="151"/>
      <c r="I4" s="151"/>
      <c r="J4" s="151"/>
      <c r="K4" s="151"/>
      <c r="L4" s="152"/>
      <c r="M4" s="99"/>
      <c r="N4" s="99"/>
      <c r="O4" s="99"/>
      <c r="P4" s="99"/>
    </row>
    <row r="5" spans="2:16" ht="14.5" thickBot="1" x14ac:dyDescent="0.35">
      <c r="B5" s="208" t="s">
        <v>13</v>
      </c>
      <c r="C5" s="209"/>
      <c r="D5" s="153">
        <f ca="1">TODAY()</f>
        <v>45879</v>
      </c>
      <c r="E5" s="154"/>
      <c r="F5" s="154"/>
      <c r="G5" s="154"/>
      <c r="H5" s="154"/>
      <c r="I5" s="154"/>
      <c r="J5" s="154"/>
      <c r="K5" s="154"/>
      <c r="L5" s="155"/>
      <c r="M5" s="99"/>
      <c r="N5" s="99"/>
      <c r="O5" s="99"/>
      <c r="P5" s="99"/>
    </row>
    <row r="6" spans="2:16" ht="14.5" thickBot="1" x14ac:dyDescent="0.35">
      <c r="B6" s="101"/>
      <c r="C6" s="101"/>
      <c r="D6" s="101"/>
      <c r="E6" s="101"/>
      <c r="F6" s="101"/>
      <c r="G6" s="101"/>
      <c r="H6" s="99"/>
      <c r="I6" s="99"/>
      <c r="J6" s="99"/>
      <c r="K6" s="99"/>
      <c r="L6" s="99"/>
      <c r="M6" s="99"/>
      <c r="N6" s="99"/>
      <c r="O6" s="99"/>
      <c r="P6" s="99"/>
    </row>
    <row r="7" spans="2:16" x14ac:dyDescent="0.3">
      <c r="B7" s="203" t="s">
        <v>48</v>
      </c>
      <c r="C7" s="204"/>
      <c r="D7" s="204"/>
      <c r="E7" s="204"/>
      <c r="F7" s="204"/>
      <c r="G7" s="204"/>
      <c r="H7" s="204"/>
      <c r="I7" s="204"/>
      <c r="J7" s="204"/>
      <c r="K7" s="204"/>
      <c r="L7" s="205"/>
      <c r="M7" s="99"/>
      <c r="N7" s="99"/>
      <c r="O7" s="99"/>
      <c r="P7" s="99"/>
    </row>
    <row r="8" spans="2:16" ht="15" customHeight="1" x14ac:dyDescent="0.3">
      <c r="B8" s="210" t="s">
        <v>48</v>
      </c>
      <c r="C8" s="211"/>
      <c r="D8" s="214">
        <v>1000000</v>
      </c>
      <c r="E8" s="215"/>
      <c r="F8" s="215"/>
      <c r="G8" s="215"/>
      <c r="H8" s="215"/>
      <c r="I8" s="215"/>
      <c r="J8" s="215"/>
      <c r="K8" s="215"/>
      <c r="L8" s="216"/>
      <c r="M8" s="99"/>
      <c r="N8" s="99"/>
      <c r="O8" s="99"/>
      <c r="P8" s="99"/>
    </row>
    <row r="9" spans="2:16" x14ac:dyDescent="0.3">
      <c r="B9" s="212"/>
      <c r="C9" s="213"/>
      <c r="D9" s="217"/>
      <c r="E9" s="218"/>
      <c r="F9" s="218"/>
      <c r="G9" s="218"/>
      <c r="H9" s="218"/>
      <c r="I9" s="218"/>
      <c r="J9" s="218"/>
      <c r="K9" s="218"/>
      <c r="L9" s="219"/>
      <c r="M9" s="99"/>
      <c r="N9" s="99"/>
      <c r="O9" s="99"/>
      <c r="P9" s="99"/>
    </row>
    <row r="10" spans="2:16" x14ac:dyDescent="0.3">
      <c r="B10" s="195" t="s">
        <v>46</v>
      </c>
      <c r="C10" s="206"/>
      <c r="D10" s="220">
        <v>180</v>
      </c>
      <c r="E10" s="221"/>
      <c r="F10" s="221"/>
      <c r="G10" s="221"/>
      <c r="H10" s="221"/>
      <c r="I10" s="221"/>
      <c r="J10" s="221"/>
      <c r="K10" s="221"/>
      <c r="L10" s="222"/>
      <c r="M10" s="99"/>
      <c r="N10" s="99"/>
      <c r="O10" s="99"/>
      <c r="P10" s="99"/>
    </row>
    <row r="11" spans="2:16" ht="14.5" thickBot="1" x14ac:dyDescent="0.35">
      <c r="B11" s="191" t="s">
        <v>49</v>
      </c>
      <c r="C11" s="224"/>
      <c r="D11" s="159">
        <f>+(D8*0.02)*1.16</f>
        <v>23200</v>
      </c>
      <c r="E11" s="160"/>
      <c r="F11" s="160"/>
      <c r="G11" s="160"/>
      <c r="H11" s="160"/>
      <c r="I11" s="160"/>
      <c r="J11" s="160"/>
      <c r="K11" s="160"/>
      <c r="L11" s="161"/>
      <c r="M11" s="99"/>
      <c r="N11" s="99"/>
      <c r="O11" s="99"/>
      <c r="P11" s="99"/>
    </row>
    <row r="12" spans="2:16" ht="14.5" thickBot="1" x14ac:dyDescent="0.35">
      <c r="B12" s="99"/>
      <c r="C12" s="99"/>
      <c r="D12" s="99"/>
      <c r="E12" s="99"/>
      <c r="F12" s="99"/>
      <c r="G12" s="99"/>
      <c r="H12" s="99"/>
      <c r="I12" s="99"/>
      <c r="J12" s="99"/>
      <c r="K12" s="99"/>
      <c r="L12" s="99"/>
      <c r="M12" s="99"/>
      <c r="N12" s="99"/>
      <c r="O12" s="99"/>
      <c r="P12" s="99"/>
    </row>
    <row r="13" spans="2:16" ht="15.75" customHeight="1" x14ac:dyDescent="0.3">
      <c r="B13" s="223"/>
      <c r="C13" s="223"/>
      <c r="D13" s="163" t="s">
        <v>15</v>
      </c>
      <c r="E13" s="164"/>
      <c r="F13" s="164"/>
      <c r="G13" s="164"/>
      <c r="H13" s="164"/>
      <c r="I13" s="164"/>
      <c r="J13" s="164"/>
      <c r="K13" s="165"/>
      <c r="L13" s="102"/>
      <c r="M13" s="102"/>
      <c r="N13" s="102"/>
      <c r="O13" s="102"/>
      <c r="P13" s="102"/>
    </row>
    <row r="14" spans="2:16" ht="15.75" customHeight="1" thickBot="1" x14ac:dyDescent="0.35">
      <c r="B14" s="223"/>
      <c r="C14" s="223"/>
      <c r="D14" s="166" t="s">
        <v>59</v>
      </c>
      <c r="E14" s="167"/>
      <c r="F14" s="167"/>
      <c r="G14" s="167"/>
      <c r="H14" s="167"/>
      <c r="I14" s="167"/>
      <c r="J14" s="167"/>
      <c r="K14" s="168"/>
      <c r="L14" s="157" t="s">
        <v>40</v>
      </c>
      <c r="M14" s="157"/>
      <c r="N14" s="157"/>
      <c r="O14" s="157"/>
      <c r="P14" s="101"/>
    </row>
    <row r="15" spans="2:16" ht="15.75" customHeight="1" x14ac:dyDescent="0.3">
      <c r="B15" s="227" t="s">
        <v>52</v>
      </c>
      <c r="C15" s="228"/>
      <c r="D15" s="169" t="s">
        <v>55</v>
      </c>
      <c r="E15" s="170"/>
      <c r="F15" s="170"/>
      <c r="G15" s="170"/>
      <c r="H15" s="170"/>
      <c r="I15" s="170"/>
      <c r="J15" s="170"/>
      <c r="K15" s="171"/>
      <c r="L15" s="157" t="s">
        <v>53</v>
      </c>
      <c r="M15" s="157"/>
      <c r="N15" s="157"/>
      <c r="O15" s="157"/>
      <c r="P15" s="101"/>
    </row>
    <row r="16" spans="2:16" ht="15.75" customHeight="1" x14ac:dyDescent="0.3">
      <c r="B16" s="229" t="s">
        <v>51</v>
      </c>
      <c r="C16" s="230"/>
      <c r="D16" s="147">
        <f>(D10)</f>
        <v>180</v>
      </c>
      <c r="E16" s="148"/>
      <c r="F16" s="148"/>
      <c r="G16" s="148"/>
      <c r="H16" s="148"/>
      <c r="I16" s="148"/>
      <c r="J16" s="148"/>
      <c r="K16" s="149"/>
      <c r="L16" s="157">
        <f>(D10)</f>
        <v>180</v>
      </c>
      <c r="M16" s="157"/>
      <c r="N16" s="157"/>
      <c r="O16" s="157"/>
      <c r="P16" s="99"/>
    </row>
    <row r="17" spans="1:16" ht="15.75" customHeight="1" x14ac:dyDescent="0.3">
      <c r="B17" s="197" t="s">
        <v>21</v>
      </c>
      <c r="C17" s="198"/>
      <c r="D17" s="141">
        <v>3.0000000000000001E-3</v>
      </c>
      <c r="E17" s="142"/>
      <c r="F17" s="142"/>
      <c r="G17" s="142"/>
      <c r="H17" s="142"/>
      <c r="I17" s="142"/>
      <c r="J17" s="142"/>
      <c r="K17" s="143"/>
      <c r="L17" s="158">
        <v>2E-3</v>
      </c>
      <c r="M17" s="158"/>
      <c r="N17" s="158"/>
      <c r="O17" s="158"/>
      <c r="P17" s="103"/>
    </row>
    <row r="18" spans="1:16" ht="15.75" customHeight="1" x14ac:dyDescent="0.3">
      <c r="B18" s="197" t="s">
        <v>22</v>
      </c>
      <c r="C18" s="198"/>
      <c r="D18" s="141">
        <v>3.0000000000000001E-3</v>
      </c>
      <c r="E18" s="142"/>
      <c r="F18" s="142"/>
      <c r="G18" s="142"/>
      <c r="H18" s="142"/>
      <c r="I18" s="142"/>
      <c r="J18" s="142"/>
      <c r="K18" s="143"/>
      <c r="L18" s="158">
        <v>2E-3</v>
      </c>
      <c r="M18" s="158"/>
      <c r="N18" s="158"/>
      <c r="O18" s="158"/>
      <c r="P18" s="103"/>
    </row>
    <row r="19" spans="1:16" ht="15.75" customHeight="1" x14ac:dyDescent="0.3">
      <c r="B19" s="197" t="s">
        <v>50</v>
      </c>
      <c r="C19" s="198"/>
      <c r="D19" s="138">
        <v>0.35</v>
      </c>
      <c r="E19" s="139"/>
      <c r="F19" s="139"/>
      <c r="G19" s="139"/>
      <c r="H19" s="139"/>
      <c r="I19" s="139"/>
      <c r="J19" s="139"/>
      <c r="K19" s="140"/>
      <c r="L19" s="156">
        <v>0.2</v>
      </c>
      <c r="M19" s="156"/>
      <c r="N19" s="156"/>
      <c r="O19" s="156"/>
      <c r="P19" s="104"/>
    </row>
    <row r="20" spans="1:16" ht="15.75" customHeight="1" x14ac:dyDescent="0.3">
      <c r="B20" s="197"/>
      <c r="C20" s="198"/>
      <c r="D20" s="144">
        <f>IF(D8&lt;500000,0,D8*D19)</f>
        <v>350000</v>
      </c>
      <c r="E20" s="145"/>
      <c r="F20" s="145"/>
      <c r="G20" s="145"/>
      <c r="H20" s="145"/>
      <c r="I20" s="145"/>
      <c r="J20" s="145"/>
      <c r="K20" s="146"/>
      <c r="L20" s="162">
        <f>D8*L19</f>
        <v>200000</v>
      </c>
      <c r="M20" s="162"/>
      <c r="N20" s="162"/>
      <c r="O20" s="162"/>
      <c r="P20" s="105"/>
    </row>
    <row r="21" spans="1:16" x14ac:dyDescent="0.3">
      <c r="B21" s="197" t="s">
        <v>17</v>
      </c>
      <c r="C21" s="198"/>
      <c r="D21" s="138">
        <v>0.65</v>
      </c>
      <c r="E21" s="139"/>
      <c r="F21" s="139"/>
      <c r="G21" s="139"/>
      <c r="H21" s="139"/>
      <c r="I21" s="139"/>
      <c r="J21" s="139"/>
      <c r="K21" s="140"/>
      <c r="L21" s="156">
        <v>0.8</v>
      </c>
      <c r="M21" s="156"/>
      <c r="N21" s="156"/>
      <c r="O21" s="156"/>
      <c r="P21" s="104"/>
    </row>
    <row r="22" spans="1:16" ht="14.5" thickBot="1" x14ac:dyDescent="0.35">
      <c r="B22" s="225"/>
      <c r="C22" s="226"/>
      <c r="D22" s="176">
        <f>IF(D8&lt;500000,0,D8*D21)</f>
        <v>650000</v>
      </c>
      <c r="E22" s="177"/>
      <c r="F22" s="177"/>
      <c r="G22" s="177"/>
      <c r="H22" s="177"/>
      <c r="I22" s="177"/>
      <c r="J22" s="177"/>
      <c r="K22" s="178"/>
      <c r="L22" s="162">
        <f>D8*L21</f>
        <v>800000</v>
      </c>
      <c r="M22" s="162"/>
      <c r="N22" s="162"/>
      <c r="O22" s="162"/>
      <c r="P22" s="105"/>
    </row>
    <row r="23" spans="1:16" ht="6.75" customHeight="1" thickBot="1" x14ac:dyDescent="0.35">
      <c r="B23" s="111"/>
      <c r="C23" s="111"/>
      <c r="D23" s="112"/>
      <c r="E23" s="113"/>
      <c r="F23" s="113"/>
      <c r="G23" s="113"/>
      <c r="H23" s="114"/>
      <c r="I23" s="114"/>
      <c r="J23" s="114"/>
      <c r="K23" s="114"/>
      <c r="L23" s="114"/>
      <c r="M23" s="114"/>
      <c r="N23" s="114"/>
      <c r="O23" s="114"/>
      <c r="P23" s="105"/>
    </row>
    <row r="24" spans="1:16" ht="16.5" customHeight="1" thickBot="1" x14ac:dyDescent="0.35">
      <c r="B24" s="199" t="s">
        <v>14</v>
      </c>
      <c r="C24" s="199"/>
      <c r="D24" s="173" t="s">
        <v>47</v>
      </c>
      <c r="E24" s="174"/>
      <c r="F24" s="174"/>
      <c r="G24" s="174"/>
      <c r="H24" s="174"/>
      <c r="I24" s="174"/>
      <c r="J24" s="174"/>
      <c r="K24" s="175"/>
      <c r="L24" s="120"/>
      <c r="M24" s="120"/>
      <c r="N24" s="120"/>
      <c r="O24" s="120"/>
      <c r="P24" s="106"/>
    </row>
    <row r="25" spans="1:16" x14ac:dyDescent="0.3">
      <c r="A25" s="115"/>
      <c r="B25" s="193" t="s">
        <v>18</v>
      </c>
      <c r="C25" s="194"/>
      <c r="D25" s="179">
        <f>IF(D8&lt;500000,0,(D8-D20)/(D10))</f>
        <v>3611.1111111111113</v>
      </c>
      <c r="E25" s="180"/>
      <c r="F25" s="180"/>
      <c r="G25" s="180"/>
      <c r="H25" s="180"/>
      <c r="I25" s="180"/>
      <c r="J25" s="180"/>
      <c r="K25" s="181"/>
      <c r="L25" s="172">
        <f>+D8/D10</f>
        <v>5555.5555555555557</v>
      </c>
      <c r="M25" s="172"/>
      <c r="N25" s="172"/>
      <c r="O25" s="172"/>
      <c r="P25" s="106"/>
    </row>
    <row r="26" spans="1:16" x14ac:dyDescent="0.3">
      <c r="A26" s="116"/>
      <c r="B26" s="197" t="s">
        <v>23</v>
      </c>
      <c r="C26" s="198"/>
      <c r="D26" s="182">
        <f>IF(D8&lt;500000,0,D8*D17)</f>
        <v>3000</v>
      </c>
      <c r="E26" s="183"/>
      <c r="F26" s="183"/>
      <c r="G26" s="183"/>
      <c r="H26" s="183"/>
      <c r="I26" s="183"/>
      <c r="J26" s="183"/>
      <c r="K26" s="184"/>
      <c r="L26" s="172">
        <f>D8*L17</f>
        <v>2000</v>
      </c>
      <c r="M26" s="172"/>
      <c r="N26" s="172"/>
      <c r="O26" s="172"/>
      <c r="P26" s="106"/>
    </row>
    <row r="27" spans="1:16" ht="15.75" customHeight="1" x14ac:dyDescent="0.3">
      <c r="A27" s="116"/>
      <c r="B27" s="195" t="s">
        <v>24</v>
      </c>
      <c r="C27" s="196"/>
      <c r="D27" s="182">
        <f>D26*16%</f>
        <v>480</v>
      </c>
      <c r="E27" s="183"/>
      <c r="F27" s="183"/>
      <c r="G27" s="183"/>
      <c r="H27" s="183"/>
      <c r="I27" s="183"/>
      <c r="J27" s="183"/>
      <c r="K27" s="184"/>
      <c r="L27" s="172">
        <f t="shared" ref="L27" si="0">L26*16%</f>
        <v>320</v>
      </c>
      <c r="M27" s="172"/>
      <c r="N27" s="172"/>
      <c r="O27" s="172"/>
      <c r="P27" s="106"/>
    </row>
    <row r="28" spans="1:16" x14ac:dyDescent="0.3">
      <c r="A28" s="116"/>
      <c r="B28" s="195" t="s">
        <v>25</v>
      </c>
      <c r="C28" s="196"/>
      <c r="D28" s="182">
        <f>IF(D8&lt;500000,0,(((D8/D10)+D26+D27)*(D10)*(0.064%)))</f>
        <v>1040.896</v>
      </c>
      <c r="E28" s="183"/>
      <c r="F28" s="183"/>
      <c r="G28" s="183"/>
      <c r="H28" s="183"/>
      <c r="I28" s="183"/>
      <c r="J28" s="183"/>
      <c r="K28" s="184"/>
      <c r="L28" s="172">
        <f>(((D8/D10)+L26+L27)*(D10)*(0.064%))</f>
        <v>907.26400000000012</v>
      </c>
      <c r="M28" s="172"/>
      <c r="N28" s="172"/>
      <c r="O28" s="172"/>
      <c r="P28" s="106"/>
    </row>
    <row r="29" spans="1:16" x14ac:dyDescent="0.3">
      <c r="A29" s="116"/>
      <c r="B29" s="195" t="s">
        <v>16</v>
      </c>
      <c r="C29" s="196"/>
      <c r="D29" s="182">
        <f>IF(D8&lt;500000,0,D8*0.016123%)</f>
        <v>161.22999999999996</v>
      </c>
      <c r="E29" s="183"/>
      <c r="F29" s="183"/>
      <c r="G29" s="183"/>
      <c r="H29" s="183"/>
      <c r="I29" s="183"/>
      <c r="J29" s="183"/>
      <c r="K29" s="184"/>
      <c r="L29" s="172">
        <f>D8*0.016123%</f>
        <v>161.22999999999996</v>
      </c>
      <c r="M29" s="172"/>
      <c r="N29" s="172"/>
      <c r="O29" s="172"/>
      <c r="P29" s="106"/>
    </row>
    <row r="30" spans="1:16" ht="14.5" thickBot="1" x14ac:dyDescent="0.35">
      <c r="A30" s="116"/>
      <c r="B30" s="195" t="s">
        <v>19</v>
      </c>
      <c r="C30" s="196"/>
      <c r="D30" s="185">
        <f>D29*16%</f>
        <v>25.796799999999994</v>
      </c>
      <c r="E30" s="186"/>
      <c r="F30" s="186"/>
      <c r="G30" s="186"/>
      <c r="H30" s="186"/>
      <c r="I30" s="186"/>
      <c r="J30" s="186"/>
      <c r="K30" s="187"/>
      <c r="L30" s="172">
        <f>L29*16%</f>
        <v>25.796799999999994</v>
      </c>
      <c r="M30" s="172"/>
      <c r="N30" s="172"/>
      <c r="O30" s="172"/>
      <c r="P30" s="106"/>
    </row>
    <row r="31" spans="1:16" ht="15" customHeight="1" thickBot="1" x14ac:dyDescent="0.35">
      <c r="A31" s="117"/>
      <c r="B31" s="191" t="s">
        <v>20</v>
      </c>
      <c r="C31" s="192"/>
      <c r="D31" s="188">
        <f>D25+D26+D27+D28</f>
        <v>8132.007111111111</v>
      </c>
      <c r="E31" s="189"/>
      <c r="F31" s="189"/>
      <c r="G31" s="189"/>
      <c r="H31" s="189"/>
      <c r="I31" s="189"/>
      <c r="J31" s="189"/>
      <c r="K31" s="190"/>
      <c r="L31" s="172">
        <f t="shared" ref="L31" si="1">L25+L26+L27+L28</f>
        <v>8782.8195555555558</v>
      </c>
      <c r="M31" s="172"/>
      <c r="N31" s="172"/>
      <c r="O31" s="172"/>
      <c r="P31" s="106"/>
    </row>
    <row r="32" spans="1:16" x14ac:dyDescent="0.3">
      <c r="L32" s="121"/>
      <c r="M32" s="121"/>
      <c r="N32" s="121"/>
      <c r="O32" s="121"/>
    </row>
    <row r="33" spans="12:15" x14ac:dyDescent="0.3">
      <c r="L33" s="121"/>
      <c r="M33" s="121"/>
      <c r="N33" s="121"/>
      <c r="O33" s="121"/>
    </row>
    <row r="34" spans="12:15" x14ac:dyDescent="0.3"/>
    <row r="40" spans="12:15" x14ac:dyDescent="0.3"/>
    <row r="41" spans="12:15" x14ac:dyDescent="0.3"/>
    <row r="42" spans="12:15" x14ac:dyDescent="0.3"/>
    <row r="43" spans="12:15" x14ac:dyDescent="0.3"/>
  </sheetData>
  <sheetProtection algorithmName="SHA-512" hashValue="NutXUcHo5VDGFj8cVAkHK0a6NczKeQebPsOOcznGAkIEqbqUXzblFBpEjIDPVpHY3l9J6HZQpJkbLXowIp2P3g==" saltValue="ULbuFiM4DCPVNC8Shy/Waw==" spinCount="100000" sheet="1" objects="1" scenarios="1"/>
  <protectedRanges>
    <protectedRange sqref="H3:L4" name="Rango1"/>
  </protectedRanges>
  <mergeCells count="63">
    <mergeCell ref="B15:C15"/>
    <mergeCell ref="B16:C16"/>
    <mergeCell ref="B24:C24"/>
    <mergeCell ref="B2:L2"/>
    <mergeCell ref="B7:L7"/>
    <mergeCell ref="B10:C10"/>
    <mergeCell ref="B4:C4"/>
    <mergeCell ref="B3:C3"/>
    <mergeCell ref="B5:C5"/>
    <mergeCell ref="B8:C9"/>
    <mergeCell ref="D8:L9"/>
    <mergeCell ref="D10:L10"/>
    <mergeCell ref="B13:C14"/>
    <mergeCell ref="B11:C11"/>
    <mergeCell ref="B18:C18"/>
    <mergeCell ref="B19:C20"/>
    <mergeCell ref="B21:C22"/>
    <mergeCell ref="B17:C17"/>
    <mergeCell ref="B31:C31"/>
    <mergeCell ref="B25:C25"/>
    <mergeCell ref="B28:C28"/>
    <mergeCell ref="B29:C29"/>
    <mergeCell ref="B27:C27"/>
    <mergeCell ref="B26:C26"/>
    <mergeCell ref="B30:C30"/>
    <mergeCell ref="L28:O28"/>
    <mergeCell ref="L29:O29"/>
    <mergeCell ref="L30:O30"/>
    <mergeCell ref="L31:O31"/>
    <mergeCell ref="D28:K28"/>
    <mergeCell ref="D29:K29"/>
    <mergeCell ref="D30:K30"/>
    <mergeCell ref="D31:K31"/>
    <mergeCell ref="L26:O26"/>
    <mergeCell ref="L27:O27"/>
    <mergeCell ref="L22:O22"/>
    <mergeCell ref="L25:O25"/>
    <mergeCell ref="D24:K24"/>
    <mergeCell ref="D22:K22"/>
    <mergeCell ref="D25:K25"/>
    <mergeCell ref="D26:K26"/>
    <mergeCell ref="D27:K27"/>
    <mergeCell ref="D16:K16"/>
    <mergeCell ref="D3:L3"/>
    <mergeCell ref="D4:L4"/>
    <mergeCell ref="D5:L5"/>
    <mergeCell ref="L21:O21"/>
    <mergeCell ref="L14:O14"/>
    <mergeCell ref="L16:O16"/>
    <mergeCell ref="L17:O17"/>
    <mergeCell ref="L18:O18"/>
    <mergeCell ref="L19:O19"/>
    <mergeCell ref="L15:O15"/>
    <mergeCell ref="D11:L11"/>
    <mergeCell ref="L20:O20"/>
    <mergeCell ref="D13:K13"/>
    <mergeCell ref="D14:K14"/>
    <mergeCell ref="D15:K15"/>
    <mergeCell ref="D21:K21"/>
    <mergeCell ref="D17:K17"/>
    <mergeCell ref="D18:K18"/>
    <mergeCell ref="D19:K19"/>
    <mergeCell ref="D20:K20"/>
  </mergeCells>
  <dataValidations count="1">
    <dataValidation type="custom" operator="greaterThanOrEqual" allowBlank="1" showInputMessage="1" showErrorMessage="1" errorTitle="Valor de contrato menor a 1mdp" error="Recuerda que el valor mínimo de contrato es de $500,000 y debe ser en múltiplos de $50,000" promptTitle="CAPTURA DE MONTO" prompt="EL MONTO A CAPTURAR DEBE SER MAYOR A 1MDP Y EN MÚLTIPLOS DE $50,000" sqref="D8" xr:uid="{00000000-0002-0000-0000-000000000000}">
      <formula1>MOD(D8,50000)=0</formula1>
    </dataValidation>
  </dataValidations>
  <printOptions horizontalCentered="1" verticalCentered="1"/>
  <pageMargins left="0.23622047244094491" right="0.23622047244094491" top="0.74803149606299213" bottom="0.74803149606299213" header="0.31496062992125984" footer="0.31496062992125984"/>
  <pageSetup paperSize="9" scale="77"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tabColor rgb="FF7030A0"/>
  </sheetPr>
  <dimension ref="A1:Q207"/>
  <sheetViews>
    <sheetView topLeftCell="A13" zoomScale="76" zoomScaleNormal="76" workbookViewId="0">
      <selection activeCell="C37" sqref="C37"/>
    </sheetView>
  </sheetViews>
  <sheetFormatPr baseColWidth="10" defaultColWidth="0" defaultRowHeight="14.5" zeroHeight="1" x14ac:dyDescent="0.35"/>
  <cols>
    <col min="1" max="1" width="8.81640625" style="2" bestFit="1" customWidth="1"/>
    <col min="2" max="2" width="18.7265625" style="2" customWidth="1"/>
    <col min="3" max="3" width="26.453125" style="2" bestFit="1" customWidth="1"/>
    <col min="4" max="4" width="27.7265625" style="2" customWidth="1"/>
    <col min="5" max="5" width="23" style="2" customWidth="1"/>
    <col min="6" max="6" width="18.26953125" style="2" bestFit="1" customWidth="1"/>
    <col min="7" max="7" width="23.1796875" style="129" hidden="1" customWidth="1"/>
    <col min="8" max="8" width="27.26953125" style="2" customWidth="1"/>
    <col min="9" max="9" width="20.1796875" style="2" customWidth="1"/>
    <col min="10" max="10" width="15.7265625" style="3" customWidth="1"/>
    <col min="11" max="11" width="18.81640625" style="3" customWidth="1"/>
    <col min="12" max="12" width="16.7265625" style="3" bestFit="1" customWidth="1"/>
    <col min="13" max="15" width="0.81640625" style="2" hidden="1" customWidth="1"/>
    <col min="16" max="16" width="16.54296875" style="10" hidden="1" customWidth="1"/>
    <col min="17" max="17" width="15.54296875" style="2" hidden="1" customWidth="1"/>
    <col min="18" max="16384" width="11.453125" style="2" hidden="1"/>
  </cols>
  <sheetData>
    <row r="1" spans="1:16" s="26" customFormat="1" ht="21" x14ac:dyDescent="0.5">
      <c r="A1" s="53"/>
      <c r="B1" s="56" t="s">
        <v>58</v>
      </c>
      <c r="C1" s="1"/>
      <c r="D1" s="1"/>
      <c r="E1" s="1"/>
      <c r="F1" s="1"/>
      <c r="G1" s="128"/>
      <c r="H1" s="1"/>
      <c r="I1" s="1"/>
      <c r="J1" s="1"/>
      <c r="K1" s="1"/>
      <c r="L1" s="1"/>
      <c r="P1" s="27"/>
    </row>
    <row r="2" spans="1:16" x14ac:dyDescent="0.35">
      <c r="B2" s="2" t="s">
        <v>0</v>
      </c>
      <c r="D2" s="3" t="s">
        <v>1</v>
      </c>
      <c r="K2" s="3" t="s">
        <v>28</v>
      </c>
      <c r="L2" s="4">
        <v>0.65</v>
      </c>
    </row>
    <row r="3" spans="1:16" ht="15" thickBot="1" x14ac:dyDescent="0.4">
      <c r="B3" s="2" t="s">
        <v>29</v>
      </c>
      <c r="D3" s="5">
        <f>(SIMULADOR!D17)</f>
        <v>3.0000000000000001E-3</v>
      </c>
      <c r="H3" s="28">
        <f ca="1">TODAY()</f>
        <v>45879</v>
      </c>
      <c r="I3" s="28"/>
    </row>
    <row r="4" spans="1:16" ht="21" x14ac:dyDescent="0.5">
      <c r="B4" s="2" t="s">
        <v>4</v>
      </c>
      <c r="D4" s="6">
        <v>3.5000000000000003E-2</v>
      </c>
      <c r="E4" s="241" t="s">
        <v>35</v>
      </c>
      <c r="F4" s="242"/>
      <c r="G4" s="242"/>
      <c r="H4" s="242"/>
      <c r="I4" s="242"/>
      <c r="J4" s="243"/>
    </row>
    <row r="5" spans="1:16" ht="15" thickBot="1" x14ac:dyDescent="0.4">
      <c r="D5" s="5"/>
      <c r="E5" s="58"/>
      <c r="H5" s="78" t="s">
        <v>33</v>
      </c>
      <c r="I5" s="78"/>
      <c r="J5" s="59" t="s">
        <v>34</v>
      </c>
    </row>
    <row r="6" spans="1:16" x14ac:dyDescent="0.35">
      <c r="A6" s="88">
        <v>0.05</v>
      </c>
      <c r="B6" s="29" t="s">
        <v>2</v>
      </c>
      <c r="C6" s="30"/>
      <c r="D6" s="90">
        <f>(SIMULADOR!D8)</f>
        <v>1000000</v>
      </c>
      <c r="E6" s="245" t="s">
        <v>32</v>
      </c>
      <c r="F6" s="245"/>
      <c r="H6" s="87" t="str">
        <f ca="1">UPPER(TEXT(TODAY(),"MMMM"))</f>
        <v>AGOSTO</v>
      </c>
      <c r="I6" s="87"/>
      <c r="J6" s="60">
        <f ca="1">EOMONTH(H3,0)</f>
        <v>45900</v>
      </c>
    </row>
    <row r="7" spans="1:16" x14ac:dyDescent="0.35">
      <c r="A7" s="88">
        <v>0.06</v>
      </c>
      <c r="B7" s="7" t="s">
        <v>54</v>
      </c>
      <c r="C7" s="8"/>
      <c r="D7" s="91">
        <f>(SIMULADOR!D20)</f>
        <v>350000</v>
      </c>
      <c r="E7" s="245" t="s">
        <v>56</v>
      </c>
      <c r="F7" s="245"/>
      <c r="H7" s="244">
        <f>+D7</f>
        <v>350000</v>
      </c>
      <c r="I7" s="244"/>
      <c r="J7" s="60">
        <f ca="1">EOMONTH(H3,0)</f>
        <v>45900</v>
      </c>
    </row>
    <row r="8" spans="1:16" x14ac:dyDescent="0.35">
      <c r="A8" s="88">
        <v>7.0000000000000007E-2</v>
      </c>
      <c r="B8" s="97" t="s">
        <v>44</v>
      </c>
      <c r="C8" s="89"/>
      <c r="D8" s="119">
        <f>+D6-D7</f>
        <v>650000</v>
      </c>
      <c r="E8" s="246" t="str">
        <f ca="1">CONCATENATE("PRIMER MENSUALIDAD ",UPPER(TEXT(H3, "MMMM")))</f>
        <v>PRIMER MENSUALIDAD AGOSTO</v>
      </c>
      <c r="F8" s="246"/>
      <c r="H8" s="244">
        <f>+L21</f>
        <v>8133</v>
      </c>
      <c r="I8" s="244"/>
      <c r="J8" s="60">
        <f ca="1">EOMONTH(H3,0)</f>
        <v>45900</v>
      </c>
      <c r="K8" s="2"/>
    </row>
    <row r="9" spans="1:16" x14ac:dyDescent="0.35">
      <c r="A9" s="88">
        <v>0.08</v>
      </c>
      <c r="B9" s="7" t="s">
        <v>3</v>
      </c>
      <c r="C9" s="8"/>
      <c r="D9" s="92">
        <f>(SIMULADOR!D10)</f>
        <v>180</v>
      </c>
      <c r="E9" s="246" t="str">
        <f ca="1">CONCATENATE("SEGUNDA MENSUALIDAD ",UPPER(TEXT(EDATE(H3,1), "MMMM")))</f>
        <v>SEGUNDA MENSUALIDAD SEPTIEMBRE</v>
      </c>
      <c r="F9" s="246"/>
      <c r="H9" s="244">
        <f ca="1">+L22</f>
        <v>8133</v>
      </c>
      <c r="I9" s="244"/>
      <c r="J9" s="60">
        <f ca="1">EOMONTH(J8,0)+15</f>
        <v>45915</v>
      </c>
      <c r="K9" s="31"/>
    </row>
    <row r="10" spans="1:16" ht="15" thickBot="1" x14ac:dyDescent="0.4">
      <c r="A10" s="88">
        <v>0.09</v>
      </c>
      <c r="B10" s="7" t="s">
        <v>42</v>
      </c>
      <c r="C10" s="8"/>
      <c r="D10" s="93">
        <f>ROUNDUP((SIMULADOR!D31),0)</f>
        <v>8133</v>
      </c>
      <c r="E10" s="231" t="str">
        <f ca="1">CONCATENATE("MES DE ADJUDICACIÓN: ",UPPER(TEXT(EDATE(H3,1), "MMMM")))</f>
        <v>MES DE ADJUDICACIÓN: SEPTIEMBRE</v>
      </c>
      <c r="F10" s="231"/>
      <c r="G10" s="231"/>
      <c r="H10" s="231"/>
      <c r="I10" s="231"/>
      <c r="J10" s="232"/>
      <c r="K10" s="31"/>
    </row>
    <row r="11" spans="1:16" ht="15.75" customHeight="1" x14ac:dyDescent="0.35">
      <c r="B11" s="7" t="s">
        <v>9</v>
      </c>
      <c r="C11" s="8"/>
      <c r="D11" s="91">
        <f>ROUNDUP(SIMULADOR!D11,0)</f>
        <v>23200</v>
      </c>
      <c r="E11" s="235" t="s">
        <v>57</v>
      </c>
      <c r="F11" s="236"/>
      <c r="G11" s="236"/>
      <c r="H11" s="236"/>
      <c r="I11" s="236"/>
      <c r="J11" s="237"/>
    </row>
    <row r="12" spans="1:16" ht="15" thickBot="1" x14ac:dyDescent="0.4">
      <c r="B12" s="7" t="s">
        <v>36</v>
      </c>
      <c r="C12" s="89"/>
      <c r="D12" s="94">
        <f>+(D6*0.025)*1.16</f>
        <v>28999.999999999996</v>
      </c>
      <c r="E12" s="238"/>
      <c r="F12" s="239"/>
      <c r="G12" s="239"/>
      <c r="H12" s="239"/>
      <c r="I12" s="239"/>
      <c r="J12" s="240"/>
    </row>
    <row r="13" spans="1:16" ht="15" customHeight="1" x14ac:dyDescent="0.35">
      <c r="B13" s="107" t="s">
        <v>43</v>
      </c>
      <c r="C13" s="108"/>
      <c r="D13" s="98">
        <f>+((D6/1000)*2.5)*1.16</f>
        <v>2900</v>
      </c>
      <c r="J13" s="2"/>
    </row>
    <row r="14" spans="1:16" ht="15" customHeight="1" thickBot="1" x14ac:dyDescent="0.4">
      <c r="B14" s="109" t="s">
        <v>45</v>
      </c>
      <c r="C14" s="110">
        <v>0.06</v>
      </c>
      <c r="D14" s="95">
        <f>+D6*C14</f>
        <v>60000</v>
      </c>
      <c r="E14" s="57"/>
      <c r="F14" s="57"/>
      <c r="G14" s="57"/>
      <c r="H14" s="57"/>
      <c r="I14" s="57"/>
      <c r="J14" s="57"/>
    </row>
    <row r="15" spans="1:16" ht="24.75" customHeight="1" x14ac:dyDescent="0.35">
      <c r="B15" s="9"/>
      <c r="C15" s="9"/>
      <c r="D15" s="10"/>
      <c r="E15" s="57"/>
      <c r="F15" s="57"/>
      <c r="G15" s="57"/>
      <c r="H15" s="57"/>
      <c r="I15" s="57"/>
      <c r="J15" s="57"/>
    </row>
    <row r="16" spans="1:16" ht="15" customHeight="1" x14ac:dyDescent="0.35">
      <c r="B16" s="9"/>
      <c r="C16" s="9"/>
      <c r="D16" s="10"/>
      <c r="E16" s="57"/>
      <c r="F16" s="57"/>
      <c r="G16" s="57"/>
      <c r="H16" s="57"/>
      <c r="I16" s="57"/>
      <c r="J16" s="57"/>
    </row>
    <row r="17" spans="1:16" ht="8.25" customHeight="1" x14ac:dyDescent="0.35">
      <c r="B17" s="234"/>
      <c r="C17" s="234"/>
      <c r="D17" s="118"/>
      <c r="E17" s="12"/>
      <c r="F17" s="11"/>
      <c r="H17" s="57"/>
      <c r="I17" s="57"/>
      <c r="J17" s="57"/>
      <c r="K17" s="13"/>
    </row>
    <row r="18" spans="1:16" x14ac:dyDescent="0.35">
      <c r="B18" s="8"/>
      <c r="C18" s="8"/>
      <c r="D18" s="32"/>
      <c r="E18" s="9"/>
      <c r="H18" s="51"/>
      <c r="I18" s="51"/>
      <c r="J18" s="51"/>
      <c r="K18" s="13"/>
    </row>
    <row r="19" spans="1:16" ht="15" thickBot="1" x14ac:dyDescent="0.4">
      <c r="H19" s="52"/>
      <c r="I19" s="52"/>
      <c r="J19" s="52"/>
    </row>
    <row r="20" spans="1:16" s="14" customFormat="1" ht="58.5" thickBot="1" x14ac:dyDescent="0.4">
      <c r="A20" s="54"/>
      <c r="B20" s="15" t="s">
        <v>26</v>
      </c>
      <c r="C20" s="16" t="s">
        <v>5</v>
      </c>
      <c r="D20" s="16" t="s">
        <v>6</v>
      </c>
      <c r="E20" s="16" t="s">
        <v>7</v>
      </c>
      <c r="F20" s="16" t="s">
        <v>8</v>
      </c>
      <c r="G20" s="130" t="s">
        <v>27</v>
      </c>
      <c r="H20" s="16" t="s">
        <v>37</v>
      </c>
      <c r="I20" s="79" t="s">
        <v>41</v>
      </c>
      <c r="J20" s="48" t="s">
        <v>31</v>
      </c>
      <c r="K20" s="18" t="s">
        <v>30</v>
      </c>
      <c r="L20" s="17" t="s">
        <v>38</v>
      </c>
      <c r="P20" s="33"/>
    </row>
    <row r="21" spans="1:16" x14ac:dyDescent="0.35">
      <c r="A21" s="55">
        <f ca="1">TODAY()</f>
        <v>45879</v>
      </c>
      <c r="B21" s="34">
        <v>1</v>
      </c>
      <c r="C21" s="35">
        <f>(G21*L2)/D9</f>
        <v>3611.1111111111113</v>
      </c>
      <c r="D21" s="36">
        <f>(G21*D3)</f>
        <v>3000</v>
      </c>
      <c r="E21" s="36">
        <f>D21*16%</f>
        <v>480</v>
      </c>
      <c r="F21" s="36">
        <f>((G21/D9)+D21+E21)*(D9)*(0.064%)</f>
        <v>1040.896</v>
      </c>
      <c r="G21" s="131">
        <f>(SIMULADOR!D8)</f>
        <v>1000000</v>
      </c>
      <c r="H21" s="37"/>
      <c r="I21" s="81">
        <v>180</v>
      </c>
      <c r="J21" s="49"/>
      <c r="K21" s="36">
        <f>IF(J21=0,0,+C21+((D21*0.75)*1.16))*J21</f>
        <v>0</v>
      </c>
      <c r="L21" s="23">
        <f t="shared" ref="L21:L85" si="0">ROUNDUP(C21+D21+E21+F21+H21+K21,0)</f>
        <v>8133</v>
      </c>
    </row>
    <row r="22" spans="1:16" x14ac:dyDescent="0.35">
      <c r="A22" s="55">
        <f ca="1">EDATE(A21,1)</f>
        <v>45910</v>
      </c>
      <c r="B22" s="38">
        <v>2</v>
      </c>
      <c r="C22" s="19">
        <f t="shared" ref="C22:C53" ca="1" si="1">IF(O21&gt;179,0,(G22*$L$2)/$D$9)</f>
        <v>3611.1111111111113</v>
      </c>
      <c r="D22" s="20">
        <f t="shared" ref="D22:D53" ca="1" si="2">IF(O21&gt;179,0,(G22*$D$3))</f>
        <v>3000</v>
      </c>
      <c r="E22" s="20">
        <f ca="1">D22*16%</f>
        <v>480</v>
      </c>
      <c r="F22" s="20">
        <f t="shared" ref="F22:F53" ca="1" si="3">IF(O21&gt;179,0,((G22/$D$9)+D22+E22)*($D$9)*(0.064%))</f>
        <v>1040.896</v>
      </c>
      <c r="G22" s="132">
        <f ca="1">IF(O21&gt;179,0,IF(MONTH(A22)=7,G21*1.035,(IF(MONTH(A22)=1,G21*1.035,G21))))</f>
        <v>1000000</v>
      </c>
      <c r="H22" s="21"/>
      <c r="I22" s="82">
        <f>IF(O22&gt;179,0,(180-N22+1)-(SUM($J$21:$J$200)))</f>
        <v>179</v>
      </c>
      <c r="J22" s="22"/>
      <c r="K22" s="20">
        <f t="shared" ref="K22:K85" si="4">IF(J22=0,0,+C22+((D22*0.75)*1.16))*J22</f>
        <v>0</v>
      </c>
      <c r="L22" s="23">
        <f t="shared" ca="1" si="0"/>
        <v>8133</v>
      </c>
      <c r="M22" s="2">
        <f>SUM($J$21:J22)</f>
        <v>0</v>
      </c>
      <c r="N22" s="2">
        <f>COUNT($B$21:B22)</f>
        <v>2</v>
      </c>
      <c r="O22" s="2">
        <f>+M22+N22</f>
        <v>2</v>
      </c>
    </row>
    <row r="23" spans="1:16" x14ac:dyDescent="0.35">
      <c r="A23" s="55">
        <f ca="1">EDATE(A22,1)</f>
        <v>45940</v>
      </c>
      <c r="B23" s="39">
        <v>3</v>
      </c>
      <c r="C23" s="122">
        <f t="shared" ca="1" si="1"/>
        <v>4694.4444444444443</v>
      </c>
      <c r="D23" s="123">
        <f t="shared" ca="1" si="2"/>
        <v>3900</v>
      </c>
      <c r="E23" s="123">
        <f ca="1">D23*16%</f>
        <v>624</v>
      </c>
      <c r="F23" s="123">
        <f t="shared" ca="1" si="3"/>
        <v>1353.1648</v>
      </c>
      <c r="G23" s="132">
        <f ca="1">(IF(O22&gt;179,0,IF(MONTH(A23)=7,G22*1.035,(IF(MONTH(A23)=1,G22*1.035,G22)))))*1.3</f>
        <v>1300000</v>
      </c>
      <c r="H23" s="126">
        <f t="shared" ref="H23:H26" ca="1" si="5">(G23*0.00016123)*1.16</f>
        <v>243.13483999999997</v>
      </c>
      <c r="I23" s="124">
        <f t="shared" ref="I23:I86" si="6">IF(O23&gt;179,0,(180-N23+1)-(SUM($J$21:$J$200)))</f>
        <v>178</v>
      </c>
      <c r="J23" s="125"/>
      <c r="K23" s="123">
        <f t="shared" si="4"/>
        <v>0</v>
      </c>
      <c r="L23" s="62">
        <f ca="1">ROUNDUP(C23+D23+E23+F23+H23+K23,0)</f>
        <v>10815</v>
      </c>
      <c r="M23" s="2">
        <f>SUM($J$21:J23)</f>
        <v>0</v>
      </c>
      <c r="N23" s="2">
        <f>COUNT($B$21:B23)</f>
        <v>3</v>
      </c>
      <c r="O23" s="2">
        <f t="shared" ref="O23:O86" si="7">+M23+N23</f>
        <v>3</v>
      </c>
    </row>
    <row r="24" spans="1:16" x14ac:dyDescent="0.35">
      <c r="A24" s="55">
        <f ca="1">EDATE(A23,1)</f>
        <v>45971</v>
      </c>
      <c r="B24" s="39">
        <v>4</v>
      </c>
      <c r="C24" s="122">
        <f t="shared" ca="1" si="1"/>
        <v>4694.4444444444443</v>
      </c>
      <c r="D24" s="123">
        <f t="shared" ca="1" si="2"/>
        <v>3900</v>
      </c>
      <c r="E24" s="123">
        <f t="shared" ref="E24:E87" ca="1" si="8">D24*16%</f>
        <v>624</v>
      </c>
      <c r="F24" s="123">
        <f t="shared" ca="1" si="3"/>
        <v>1353.1648</v>
      </c>
      <c r="G24" s="132">
        <f t="shared" ref="G24:G86" ca="1" si="9">IF(O23&gt;179,0,IF(MONTH(A24)=7,G23*1.035,(IF(MONTH(A24)=1,G23*1.035,G23))))</f>
        <v>1300000</v>
      </c>
      <c r="H24" s="25">
        <f t="shared" ca="1" si="5"/>
        <v>243.13483999999997</v>
      </c>
      <c r="I24" s="127">
        <f t="shared" si="6"/>
        <v>177</v>
      </c>
      <c r="J24" s="125"/>
      <c r="K24" s="123">
        <f t="shared" si="4"/>
        <v>0</v>
      </c>
      <c r="L24" s="62">
        <f t="shared" ca="1" si="0"/>
        <v>10815</v>
      </c>
      <c r="M24" s="2">
        <f>SUM($J$21:J24)</f>
        <v>0</v>
      </c>
      <c r="N24" s="2">
        <f>COUNT($B$21:B24)</f>
        <v>4</v>
      </c>
      <c r="O24" s="2">
        <f t="shared" si="7"/>
        <v>4</v>
      </c>
    </row>
    <row r="25" spans="1:16" x14ac:dyDescent="0.35">
      <c r="A25" s="55">
        <f t="shared" ref="A25:A88" ca="1" si="10">EDATE(A24,1)</f>
        <v>46001</v>
      </c>
      <c r="B25" s="39">
        <v>5</v>
      </c>
      <c r="C25" s="122">
        <f t="shared" ca="1" si="1"/>
        <v>4694.4444444444443</v>
      </c>
      <c r="D25" s="123">
        <f t="shared" ca="1" si="2"/>
        <v>3900</v>
      </c>
      <c r="E25" s="123">
        <f t="shared" ca="1" si="8"/>
        <v>624</v>
      </c>
      <c r="F25" s="123">
        <f t="shared" ca="1" si="3"/>
        <v>1353.1648</v>
      </c>
      <c r="G25" s="132">
        <f t="shared" ca="1" si="9"/>
        <v>1300000</v>
      </c>
      <c r="H25" s="25">
        <f t="shared" ca="1" si="5"/>
        <v>243.13483999999997</v>
      </c>
      <c r="I25" s="127">
        <f t="shared" si="6"/>
        <v>176</v>
      </c>
      <c r="J25" s="125"/>
      <c r="K25" s="123">
        <f t="shared" si="4"/>
        <v>0</v>
      </c>
      <c r="L25" s="62">
        <f t="shared" ca="1" si="0"/>
        <v>10815</v>
      </c>
      <c r="M25" s="2">
        <f>SUM($J$21:J25)</f>
        <v>0</v>
      </c>
      <c r="N25" s="2">
        <f>COUNT($B$21:B25)</f>
        <v>5</v>
      </c>
      <c r="O25" s="2">
        <f t="shared" si="7"/>
        <v>5</v>
      </c>
    </row>
    <row r="26" spans="1:16" s="65" customFormat="1" x14ac:dyDescent="0.35">
      <c r="A26" s="55">
        <f t="shared" ca="1" si="10"/>
        <v>46032</v>
      </c>
      <c r="B26" s="39">
        <v>6</v>
      </c>
      <c r="C26" s="122">
        <f t="shared" ca="1" si="1"/>
        <v>4858.75</v>
      </c>
      <c r="D26" s="123">
        <f t="shared" ca="1" si="2"/>
        <v>4036.5</v>
      </c>
      <c r="E26" s="123">
        <f t="shared" ca="1" si="8"/>
        <v>645.84</v>
      </c>
      <c r="F26" s="123">
        <f t="shared" ca="1" si="3"/>
        <v>1400.5255680000002</v>
      </c>
      <c r="G26" s="132">
        <f t="shared" ca="1" si="9"/>
        <v>1345500</v>
      </c>
      <c r="H26" s="25">
        <f t="shared" ca="1" si="5"/>
        <v>251.64455939999999</v>
      </c>
      <c r="I26" s="127">
        <f t="shared" si="6"/>
        <v>175</v>
      </c>
      <c r="J26" s="125"/>
      <c r="K26" s="123">
        <f t="shared" si="4"/>
        <v>0</v>
      </c>
      <c r="L26" s="62">
        <f t="shared" ca="1" si="0"/>
        <v>11194</v>
      </c>
      <c r="M26" s="65">
        <f>SUM($J$21:J26)</f>
        <v>0</v>
      </c>
      <c r="N26" s="65">
        <f>COUNT($B$21:B26)</f>
        <v>6</v>
      </c>
      <c r="O26" s="65">
        <f t="shared" si="7"/>
        <v>6</v>
      </c>
      <c r="P26" s="64"/>
    </row>
    <row r="27" spans="1:16" x14ac:dyDescent="0.35">
      <c r="A27" s="55">
        <f t="shared" ca="1" si="10"/>
        <v>46063</v>
      </c>
      <c r="B27" s="39">
        <v>7</v>
      </c>
      <c r="C27" s="40">
        <f t="shared" ca="1" si="1"/>
        <v>4858.75</v>
      </c>
      <c r="D27" s="24">
        <f t="shared" ca="1" si="2"/>
        <v>4036.5</v>
      </c>
      <c r="E27" s="24">
        <f t="shared" ca="1" si="8"/>
        <v>645.84</v>
      </c>
      <c r="F27" s="24">
        <f t="shared" ca="1" si="3"/>
        <v>1400.5255680000002</v>
      </c>
      <c r="G27" s="132">
        <f t="shared" ca="1" si="9"/>
        <v>1345500</v>
      </c>
      <c r="H27" s="25">
        <f t="shared" ref="H27:H88" ca="1" si="11">(G27*0.00016123)*1.16</f>
        <v>251.64455939999999</v>
      </c>
      <c r="I27" s="83">
        <f t="shared" si="6"/>
        <v>174</v>
      </c>
      <c r="J27" s="50"/>
      <c r="K27" s="24">
        <f t="shared" si="4"/>
        <v>0</v>
      </c>
      <c r="L27" s="62">
        <f t="shared" ca="1" si="0"/>
        <v>11194</v>
      </c>
      <c r="M27" s="2">
        <f>SUM($J$21:J27)</f>
        <v>0</v>
      </c>
      <c r="N27" s="2">
        <f>COUNT($B$21:B27)</f>
        <v>7</v>
      </c>
      <c r="O27" s="2">
        <f t="shared" si="7"/>
        <v>7</v>
      </c>
    </row>
    <row r="28" spans="1:16" x14ac:dyDescent="0.35">
      <c r="A28" s="55">
        <f t="shared" ca="1" si="10"/>
        <v>46091</v>
      </c>
      <c r="B28" s="39">
        <v>8</v>
      </c>
      <c r="C28" s="40">
        <f t="shared" ca="1" si="1"/>
        <v>4858.75</v>
      </c>
      <c r="D28" s="24">
        <f t="shared" ca="1" si="2"/>
        <v>4036.5</v>
      </c>
      <c r="E28" s="24">
        <f t="shared" ca="1" si="8"/>
        <v>645.84</v>
      </c>
      <c r="F28" s="24">
        <f t="shared" ca="1" si="3"/>
        <v>1400.5255680000002</v>
      </c>
      <c r="G28" s="132">
        <f t="shared" ca="1" si="9"/>
        <v>1345500</v>
      </c>
      <c r="H28" s="25">
        <f t="shared" ca="1" si="11"/>
        <v>251.64455939999999</v>
      </c>
      <c r="I28" s="83">
        <f t="shared" si="6"/>
        <v>173</v>
      </c>
      <c r="J28" s="50"/>
      <c r="K28" s="24">
        <f t="shared" si="4"/>
        <v>0</v>
      </c>
      <c r="L28" s="62">
        <f t="shared" ca="1" si="0"/>
        <v>11194</v>
      </c>
      <c r="M28" s="2">
        <f>SUM($J$21:J28)</f>
        <v>0</v>
      </c>
      <c r="N28" s="2">
        <f>COUNT($B$21:B28)</f>
        <v>8</v>
      </c>
      <c r="O28" s="2">
        <f t="shared" si="7"/>
        <v>8</v>
      </c>
    </row>
    <row r="29" spans="1:16" x14ac:dyDescent="0.35">
      <c r="A29" s="55">
        <f t="shared" ca="1" si="10"/>
        <v>46122</v>
      </c>
      <c r="B29" s="39">
        <v>9</v>
      </c>
      <c r="C29" s="40">
        <f t="shared" ca="1" si="1"/>
        <v>4858.75</v>
      </c>
      <c r="D29" s="24">
        <f t="shared" ca="1" si="2"/>
        <v>4036.5</v>
      </c>
      <c r="E29" s="24">
        <f t="shared" ca="1" si="8"/>
        <v>645.84</v>
      </c>
      <c r="F29" s="24">
        <f t="shared" ca="1" si="3"/>
        <v>1400.5255680000002</v>
      </c>
      <c r="G29" s="132">
        <f t="shared" ca="1" si="9"/>
        <v>1345500</v>
      </c>
      <c r="H29" s="25">
        <f t="shared" ca="1" si="11"/>
        <v>251.64455939999999</v>
      </c>
      <c r="I29" s="83">
        <f t="shared" si="6"/>
        <v>172</v>
      </c>
      <c r="J29" s="50"/>
      <c r="K29" s="24">
        <f t="shared" si="4"/>
        <v>0</v>
      </c>
      <c r="L29" s="62">
        <f t="shared" ca="1" si="0"/>
        <v>11194</v>
      </c>
      <c r="M29" s="2">
        <f>SUM($J$21:J29)</f>
        <v>0</v>
      </c>
      <c r="N29" s="2">
        <f>COUNT($B$21:B29)</f>
        <v>9</v>
      </c>
      <c r="O29" s="2">
        <f t="shared" si="7"/>
        <v>9</v>
      </c>
    </row>
    <row r="30" spans="1:16" x14ac:dyDescent="0.35">
      <c r="A30" s="55">
        <f t="shared" ca="1" si="10"/>
        <v>46152</v>
      </c>
      <c r="B30" s="39">
        <v>10</v>
      </c>
      <c r="C30" s="40">
        <f t="shared" ca="1" si="1"/>
        <v>4858.75</v>
      </c>
      <c r="D30" s="24">
        <f t="shared" ca="1" si="2"/>
        <v>4036.5</v>
      </c>
      <c r="E30" s="24">
        <f t="shared" ca="1" si="8"/>
        <v>645.84</v>
      </c>
      <c r="F30" s="24">
        <f t="shared" ca="1" si="3"/>
        <v>1400.5255680000002</v>
      </c>
      <c r="G30" s="132">
        <f t="shared" ca="1" si="9"/>
        <v>1345500</v>
      </c>
      <c r="H30" s="25">
        <f t="shared" ca="1" si="11"/>
        <v>251.64455939999999</v>
      </c>
      <c r="I30" s="83">
        <f t="shared" si="6"/>
        <v>171</v>
      </c>
      <c r="J30" s="50"/>
      <c r="K30" s="24">
        <f t="shared" si="4"/>
        <v>0</v>
      </c>
      <c r="L30" s="62">
        <f t="shared" ca="1" si="0"/>
        <v>11194</v>
      </c>
      <c r="M30" s="2">
        <f>SUM($J$21:J30)</f>
        <v>0</v>
      </c>
      <c r="N30" s="2">
        <f>COUNT($B$21:B30)</f>
        <v>10</v>
      </c>
      <c r="O30" s="2">
        <f t="shared" si="7"/>
        <v>10</v>
      </c>
    </row>
    <row r="31" spans="1:16" s="3" customFormat="1" x14ac:dyDescent="0.35">
      <c r="A31" s="55">
        <f t="shared" ca="1" si="10"/>
        <v>46183</v>
      </c>
      <c r="B31" s="39">
        <v>11</v>
      </c>
      <c r="C31" s="40">
        <f t="shared" ca="1" si="1"/>
        <v>4858.75</v>
      </c>
      <c r="D31" s="24">
        <f t="shared" ca="1" si="2"/>
        <v>4036.5</v>
      </c>
      <c r="E31" s="24">
        <f t="shared" ca="1" si="8"/>
        <v>645.84</v>
      </c>
      <c r="F31" s="24">
        <f t="shared" ca="1" si="3"/>
        <v>1400.5255680000002</v>
      </c>
      <c r="G31" s="132">
        <f t="shared" ca="1" si="9"/>
        <v>1345500</v>
      </c>
      <c r="H31" s="41">
        <f t="shared" ca="1" si="11"/>
        <v>251.64455939999999</v>
      </c>
      <c r="I31" s="84">
        <f t="shared" si="6"/>
        <v>170</v>
      </c>
      <c r="J31" s="50"/>
      <c r="K31" s="24">
        <f t="shared" si="4"/>
        <v>0</v>
      </c>
      <c r="L31" s="62">
        <f t="shared" ca="1" si="0"/>
        <v>11194</v>
      </c>
      <c r="M31" s="3">
        <f>SUM($J$21:J31)</f>
        <v>0</v>
      </c>
      <c r="N31" s="3">
        <f>COUNT($B$21:B31)</f>
        <v>11</v>
      </c>
      <c r="O31" s="3">
        <f t="shared" si="7"/>
        <v>11</v>
      </c>
      <c r="P31" s="10"/>
    </row>
    <row r="32" spans="1:16" s="3" customFormat="1" x14ac:dyDescent="0.35">
      <c r="A32" s="55">
        <f t="shared" ca="1" si="10"/>
        <v>46213</v>
      </c>
      <c r="B32" s="39">
        <v>12</v>
      </c>
      <c r="C32" s="40">
        <f t="shared" ca="1" si="1"/>
        <v>5028.8062499999996</v>
      </c>
      <c r="D32" s="24">
        <f t="shared" ca="1" si="2"/>
        <v>4177.7775000000001</v>
      </c>
      <c r="E32" s="24">
        <f t="shared" ca="1" si="8"/>
        <v>668.44440000000009</v>
      </c>
      <c r="F32" s="24">
        <f t="shared" ca="1" si="3"/>
        <v>1449.5439628800002</v>
      </c>
      <c r="G32" s="132">
        <f t="shared" ca="1" si="9"/>
        <v>1392592.5</v>
      </c>
      <c r="H32" s="41">
        <f t="shared" ca="1" si="11"/>
        <v>260.45211897899998</v>
      </c>
      <c r="I32" s="84">
        <f t="shared" si="6"/>
        <v>169</v>
      </c>
      <c r="J32" s="50"/>
      <c r="K32" s="24">
        <f t="shared" si="4"/>
        <v>0</v>
      </c>
      <c r="L32" s="62">
        <f t="shared" ca="1" si="0"/>
        <v>11586</v>
      </c>
      <c r="M32" s="3">
        <f>SUM($J$21:J32)</f>
        <v>0</v>
      </c>
      <c r="N32" s="3">
        <f>COUNT($B$21:B32)</f>
        <v>12</v>
      </c>
      <c r="O32" s="3">
        <f t="shared" si="7"/>
        <v>12</v>
      </c>
      <c r="P32" s="10"/>
    </row>
    <row r="33" spans="1:17" s="3" customFormat="1" x14ac:dyDescent="0.35">
      <c r="A33" s="55">
        <f t="shared" ca="1" si="10"/>
        <v>46244</v>
      </c>
      <c r="B33" s="39">
        <v>13</v>
      </c>
      <c r="C33" s="40">
        <f t="shared" ca="1" si="1"/>
        <v>5028.8062499999996</v>
      </c>
      <c r="D33" s="24">
        <f t="shared" ca="1" si="2"/>
        <v>4177.7775000000001</v>
      </c>
      <c r="E33" s="24">
        <f t="shared" ca="1" si="8"/>
        <v>668.44440000000009</v>
      </c>
      <c r="F33" s="24">
        <f t="shared" ca="1" si="3"/>
        <v>1449.5439628800002</v>
      </c>
      <c r="G33" s="132">
        <f t="shared" ca="1" si="9"/>
        <v>1392592.5</v>
      </c>
      <c r="H33" s="41">
        <f t="shared" ca="1" si="11"/>
        <v>260.45211897899998</v>
      </c>
      <c r="I33" s="84">
        <f t="shared" si="6"/>
        <v>168</v>
      </c>
      <c r="J33" s="50"/>
      <c r="K33" s="24">
        <f t="shared" si="4"/>
        <v>0</v>
      </c>
      <c r="L33" s="62">
        <f t="shared" ca="1" si="0"/>
        <v>11586</v>
      </c>
      <c r="M33" s="3">
        <f>SUM($J$21:J33)</f>
        <v>0</v>
      </c>
      <c r="N33" s="3">
        <f>COUNT($B$21:B33)</f>
        <v>13</v>
      </c>
      <c r="O33" s="3">
        <f t="shared" si="7"/>
        <v>13</v>
      </c>
      <c r="P33" s="10"/>
    </row>
    <row r="34" spans="1:17" s="3" customFormat="1" x14ac:dyDescent="0.35">
      <c r="A34" s="55">
        <f t="shared" ca="1" si="10"/>
        <v>46275</v>
      </c>
      <c r="B34" s="39">
        <v>14</v>
      </c>
      <c r="C34" s="40">
        <f t="shared" ca="1" si="1"/>
        <v>5028.8062499999996</v>
      </c>
      <c r="D34" s="24">
        <f t="shared" ca="1" si="2"/>
        <v>4177.7775000000001</v>
      </c>
      <c r="E34" s="24">
        <f t="shared" ca="1" si="8"/>
        <v>668.44440000000009</v>
      </c>
      <c r="F34" s="24">
        <f t="shared" ca="1" si="3"/>
        <v>1449.5439628800002</v>
      </c>
      <c r="G34" s="132">
        <f t="shared" ca="1" si="9"/>
        <v>1392592.5</v>
      </c>
      <c r="H34" s="41">
        <f t="shared" ca="1" si="11"/>
        <v>260.45211897899998</v>
      </c>
      <c r="I34" s="84">
        <f t="shared" si="6"/>
        <v>167</v>
      </c>
      <c r="J34" s="50"/>
      <c r="K34" s="24">
        <f t="shared" si="4"/>
        <v>0</v>
      </c>
      <c r="L34" s="62">
        <f t="shared" ca="1" si="0"/>
        <v>11586</v>
      </c>
      <c r="M34" s="3">
        <f>SUM($J$21:J34)</f>
        <v>0</v>
      </c>
      <c r="N34" s="3">
        <f>COUNT($B$21:B34)</f>
        <v>14</v>
      </c>
      <c r="O34" s="3">
        <f t="shared" si="7"/>
        <v>14</v>
      </c>
      <c r="P34" s="10"/>
    </row>
    <row r="35" spans="1:17" s="3" customFormat="1" x14ac:dyDescent="0.35">
      <c r="A35" s="55">
        <f t="shared" ca="1" si="10"/>
        <v>46305</v>
      </c>
      <c r="B35" s="39">
        <v>15</v>
      </c>
      <c r="C35" s="40">
        <f t="shared" ca="1" si="1"/>
        <v>5028.8062499999996</v>
      </c>
      <c r="D35" s="24">
        <f t="shared" ca="1" si="2"/>
        <v>4177.7775000000001</v>
      </c>
      <c r="E35" s="24">
        <f t="shared" ca="1" si="8"/>
        <v>668.44440000000009</v>
      </c>
      <c r="F35" s="24">
        <f t="shared" ca="1" si="3"/>
        <v>1449.5439628800002</v>
      </c>
      <c r="G35" s="132">
        <f t="shared" ca="1" si="9"/>
        <v>1392592.5</v>
      </c>
      <c r="H35" s="41">
        <f t="shared" ca="1" si="11"/>
        <v>260.45211897899998</v>
      </c>
      <c r="I35" s="84">
        <f t="shared" si="6"/>
        <v>166</v>
      </c>
      <c r="J35" s="50"/>
      <c r="K35" s="24">
        <f t="shared" si="4"/>
        <v>0</v>
      </c>
      <c r="L35" s="62">
        <f t="shared" ca="1" si="0"/>
        <v>11586</v>
      </c>
      <c r="M35" s="3">
        <f>SUM($J$21:J35)</f>
        <v>0</v>
      </c>
      <c r="N35" s="3">
        <f>COUNT($B$21:B35)</f>
        <v>15</v>
      </c>
      <c r="O35" s="3">
        <f t="shared" si="7"/>
        <v>15</v>
      </c>
      <c r="P35" s="10"/>
    </row>
    <row r="36" spans="1:17" s="3" customFormat="1" x14ac:dyDescent="0.35">
      <c r="A36" s="55">
        <f t="shared" ca="1" si="10"/>
        <v>46336</v>
      </c>
      <c r="B36" s="39">
        <v>16</v>
      </c>
      <c r="C36" s="40">
        <f t="shared" ca="1" si="1"/>
        <v>5028.8062499999996</v>
      </c>
      <c r="D36" s="24">
        <f t="shared" ca="1" si="2"/>
        <v>4177.7775000000001</v>
      </c>
      <c r="E36" s="24">
        <f t="shared" ca="1" si="8"/>
        <v>668.44440000000009</v>
      </c>
      <c r="F36" s="24">
        <f t="shared" ca="1" si="3"/>
        <v>1449.5439628800002</v>
      </c>
      <c r="G36" s="132">
        <f t="shared" ca="1" si="9"/>
        <v>1392592.5</v>
      </c>
      <c r="H36" s="41">
        <f t="shared" ca="1" si="11"/>
        <v>260.45211897899998</v>
      </c>
      <c r="I36" s="84">
        <f t="shared" si="6"/>
        <v>165</v>
      </c>
      <c r="J36" s="50"/>
      <c r="K36" s="24">
        <f t="shared" si="4"/>
        <v>0</v>
      </c>
      <c r="L36" s="62">
        <f t="shared" ca="1" si="0"/>
        <v>11586</v>
      </c>
      <c r="M36" s="3">
        <f>SUM($J$21:J36)</f>
        <v>0</v>
      </c>
      <c r="N36" s="3">
        <f>COUNT($B$21:B36)</f>
        <v>16</v>
      </c>
      <c r="O36" s="3">
        <f t="shared" si="7"/>
        <v>16</v>
      </c>
      <c r="P36" s="10"/>
    </row>
    <row r="37" spans="1:17" s="3" customFormat="1" x14ac:dyDescent="0.35">
      <c r="A37" s="55">
        <f t="shared" ca="1" si="10"/>
        <v>46366</v>
      </c>
      <c r="B37" s="39">
        <v>17</v>
      </c>
      <c r="C37" s="40">
        <f t="shared" ca="1" si="1"/>
        <v>5028.8062499999996</v>
      </c>
      <c r="D37" s="24">
        <f t="shared" ca="1" si="2"/>
        <v>4177.7775000000001</v>
      </c>
      <c r="E37" s="24">
        <f t="shared" ca="1" si="8"/>
        <v>668.44440000000009</v>
      </c>
      <c r="F37" s="24">
        <f t="shared" ca="1" si="3"/>
        <v>1449.5439628800002</v>
      </c>
      <c r="G37" s="132">
        <f t="shared" ca="1" si="9"/>
        <v>1392592.5</v>
      </c>
      <c r="H37" s="41">
        <f t="shared" ca="1" si="11"/>
        <v>260.45211897899998</v>
      </c>
      <c r="I37" s="84">
        <f t="shared" si="6"/>
        <v>164</v>
      </c>
      <c r="J37" s="50"/>
      <c r="K37" s="24">
        <f t="shared" si="4"/>
        <v>0</v>
      </c>
      <c r="L37" s="62">
        <f t="shared" ca="1" si="0"/>
        <v>11586</v>
      </c>
      <c r="M37" s="3">
        <f>SUM($J$21:J37)</f>
        <v>0</v>
      </c>
      <c r="N37" s="3">
        <f>COUNT($B$21:B37)</f>
        <v>17</v>
      </c>
      <c r="O37" s="3">
        <f t="shared" si="7"/>
        <v>17</v>
      </c>
      <c r="P37" s="10"/>
    </row>
    <row r="38" spans="1:17" s="3" customFormat="1" x14ac:dyDescent="0.35">
      <c r="A38" s="55">
        <f t="shared" ca="1" si="10"/>
        <v>46397</v>
      </c>
      <c r="B38" s="39">
        <v>18</v>
      </c>
      <c r="C38" s="40">
        <f t="shared" ca="1" si="1"/>
        <v>5204.8144687499989</v>
      </c>
      <c r="D38" s="24">
        <f t="shared" ca="1" si="2"/>
        <v>4323.9997124999991</v>
      </c>
      <c r="E38" s="24">
        <f t="shared" ca="1" si="8"/>
        <v>691.83995399999992</v>
      </c>
      <c r="F38" s="24">
        <f t="shared" ca="1" si="3"/>
        <v>1500.2780015807996</v>
      </c>
      <c r="G38" s="132">
        <f t="shared" ca="1" si="9"/>
        <v>1441333.2374999998</v>
      </c>
      <c r="H38" s="41">
        <f t="shared" ca="1" si="11"/>
        <v>269.56794314326493</v>
      </c>
      <c r="I38" s="84">
        <f t="shared" si="6"/>
        <v>163</v>
      </c>
      <c r="J38" s="50"/>
      <c r="K38" s="24">
        <f t="shared" si="4"/>
        <v>0</v>
      </c>
      <c r="L38" s="62">
        <f t="shared" ca="1" si="0"/>
        <v>11991</v>
      </c>
      <c r="M38" s="3">
        <f>SUM($J$21:J38)</f>
        <v>0</v>
      </c>
      <c r="N38" s="3">
        <f>COUNT($B$21:B38)</f>
        <v>18</v>
      </c>
      <c r="O38" s="3">
        <f t="shared" si="7"/>
        <v>18</v>
      </c>
      <c r="P38" s="10"/>
      <c r="Q38" s="3">
        <f>SUM(J21:J38)+12</f>
        <v>12</v>
      </c>
    </row>
    <row r="39" spans="1:17" s="3" customFormat="1" x14ac:dyDescent="0.35">
      <c r="A39" s="55">
        <f t="shared" ca="1" si="10"/>
        <v>46428</v>
      </c>
      <c r="B39" s="39">
        <v>19</v>
      </c>
      <c r="C39" s="40">
        <f t="shared" ca="1" si="1"/>
        <v>5204.8144687499989</v>
      </c>
      <c r="D39" s="24">
        <f t="shared" ca="1" si="2"/>
        <v>4323.9997124999991</v>
      </c>
      <c r="E39" s="24">
        <f t="shared" ca="1" si="8"/>
        <v>691.83995399999992</v>
      </c>
      <c r="F39" s="24">
        <f t="shared" ca="1" si="3"/>
        <v>1500.2780015807996</v>
      </c>
      <c r="G39" s="132">
        <f t="shared" ca="1" si="9"/>
        <v>1441333.2374999998</v>
      </c>
      <c r="H39" s="41">
        <f t="shared" ca="1" si="11"/>
        <v>269.56794314326493</v>
      </c>
      <c r="I39" s="84">
        <f t="shared" si="6"/>
        <v>162</v>
      </c>
      <c r="J39" s="50"/>
      <c r="K39" s="24">
        <f t="shared" si="4"/>
        <v>0</v>
      </c>
      <c r="L39" s="62">
        <f t="shared" ca="1" si="0"/>
        <v>11991</v>
      </c>
      <c r="M39" s="3">
        <f>SUM($J$21:J39)</f>
        <v>0</v>
      </c>
      <c r="N39" s="3">
        <f>COUNT($B$21:B39)</f>
        <v>19</v>
      </c>
      <c r="O39" s="3">
        <f t="shared" si="7"/>
        <v>19</v>
      </c>
      <c r="P39" s="10"/>
    </row>
    <row r="40" spans="1:17" s="3" customFormat="1" x14ac:dyDescent="0.35">
      <c r="A40" s="55">
        <f t="shared" ca="1" si="10"/>
        <v>46456</v>
      </c>
      <c r="B40" s="39">
        <v>20</v>
      </c>
      <c r="C40" s="40">
        <f t="shared" ca="1" si="1"/>
        <v>5204.8144687499989</v>
      </c>
      <c r="D40" s="24">
        <f t="shared" ca="1" si="2"/>
        <v>4323.9997124999991</v>
      </c>
      <c r="E40" s="24">
        <f t="shared" ca="1" si="8"/>
        <v>691.83995399999992</v>
      </c>
      <c r="F40" s="24">
        <f t="shared" ca="1" si="3"/>
        <v>1500.2780015807996</v>
      </c>
      <c r="G40" s="132">
        <f t="shared" ca="1" si="9"/>
        <v>1441333.2374999998</v>
      </c>
      <c r="H40" s="41">
        <f t="shared" ca="1" si="11"/>
        <v>269.56794314326493</v>
      </c>
      <c r="I40" s="84">
        <f t="shared" si="6"/>
        <v>161</v>
      </c>
      <c r="J40" s="50"/>
      <c r="K40" s="24">
        <f t="shared" si="4"/>
        <v>0</v>
      </c>
      <c r="L40" s="62">
        <f t="shared" ca="1" si="0"/>
        <v>11991</v>
      </c>
      <c r="M40" s="3">
        <f>SUM($J$21:J40)</f>
        <v>0</v>
      </c>
      <c r="N40" s="3">
        <f>COUNT($B$21:B40)</f>
        <v>20</v>
      </c>
      <c r="O40" s="3">
        <f t="shared" si="7"/>
        <v>20</v>
      </c>
      <c r="P40" s="10"/>
    </row>
    <row r="41" spans="1:17" s="3" customFormat="1" x14ac:dyDescent="0.35">
      <c r="A41" s="55">
        <f t="shared" ca="1" si="10"/>
        <v>46487</v>
      </c>
      <c r="B41" s="39">
        <v>21</v>
      </c>
      <c r="C41" s="40">
        <f t="shared" ca="1" si="1"/>
        <v>5204.8144687499989</v>
      </c>
      <c r="D41" s="24">
        <f t="shared" ca="1" si="2"/>
        <v>4323.9997124999991</v>
      </c>
      <c r="E41" s="24">
        <f t="shared" ca="1" si="8"/>
        <v>691.83995399999992</v>
      </c>
      <c r="F41" s="24">
        <f t="shared" ca="1" si="3"/>
        <v>1500.2780015807996</v>
      </c>
      <c r="G41" s="132">
        <f t="shared" ca="1" si="9"/>
        <v>1441333.2374999998</v>
      </c>
      <c r="H41" s="41">
        <f t="shared" ca="1" si="11"/>
        <v>269.56794314326493</v>
      </c>
      <c r="I41" s="84">
        <f t="shared" si="6"/>
        <v>160</v>
      </c>
      <c r="J41" s="50"/>
      <c r="K41" s="24">
        <f t="shared" si="4"/>
        <v>0</v>
      </c>
      <c r="L41" s="62">
        <f t="shared" ca="1" si="0"/>
        <v>11991</v>
      </c>
      <c r="M41" s="3">
        <f>SUM($J$21:J41)</f>
        <v>0</v>
      </c>
      <c r="N41" s="3">
        <f>COUNT($B$21:B41)</f>
        <v>21</v>
      </c>
      <c r="O41" s="3">
        <f t="shared" si="7"/>
        <v>21</v>
      </c>
      <c r="P41" s="10"/>
    </row>
    <row r="42" spans="1:17" s="3" customFormat="1" x14ac:dyDescent="0.35">
      <c r="A42" s="55">
        <f t="shared" ca="1" si="10"/>
        <v>46517</v>
      </c>
      <c r="B42" s="39">
        <v>22</v>
      </c>
      <c r="C42" s="40">
        <f t="shared" ca="1" si="1"/>
        <v>5204.8144687499989</v>
      </c>
      <c r="D42" s="24">
        <f t="shared" ca="1" si="2"/>
        <v>4323.9997124999991</v>
      </c>
      <c r="E42" s="24">
        <f t="shared" ca="1" si="8"/>
        <v>691.83995399999992</v>
      </c>
      <c r="F42" s="24">
        <f t="shared" ca="1" si="3"/>
        <v>1500.2780015807996</v>
      </c>
      <c r="G42" s="132">
        <f t="shared" ca="1" si="9"/>
        <v>1441333.2374999998</v>
      </c>
      <c r="H42" s="41">
        <f t="shared" ca="1" si="11"/>
        <v>269.56794314326493</v>
      </c>
      <c r="I42" s="84">
        <f t="shared" si="6"/>
        <v>159</v>
      </c>
      <c r="J42" s="50"/>
      <c r="K42" s="24">
        <f t="shared" si="4"/>
        <v>0</v>
      </c>
      <c r="L42" s="62">
        <f t="shared" ca="1" si="0"/>
        <v>11991</v>
      </c>
      <c r="M42" s="3">
        <f>SUM($J$21:J42)</f>
        <v>0</v>
      </c>
      <c r="N42" s="3">
        <f>COUNT($B$21:B42)</f>
        <v>22</v>
      </c>
      <c r="O42" s="3">
        <f t="shared" si="7"/>
        <v>22</v>
      </c>
      <c r="P42" s="10"/>
    </row>
    <row r="43" spans="1:17" s="3" customFormat="1" x14ac:dyDescent="0.35">
      <c r="A43" s="55">
        <f t="shared" ca="1" si="10"/>
        <v>46548</v>
      </c>
      <c r="B43" s="39">
        <v>23</v>
      </c>
      <c r="C43" s="40">
        <f t="shared" ca="1" si="1"/>
        <v>5204.8144687499989</v>
      </c>
      <c r="D43" s="24">
        <f t="shared" ca="1" si="2"/>
        <v>4323.9997124999991</v>
      </c>
      <c r="E43" s="24">
        <f t="shared" ca="1" si="8"/>
        <v>691.83995399999992</v>
      </c>
      <c r="F43" s="24">
        <f t="shared" ca="1" si="3"/>
        <v>1500.2780015807996</v>
      </c>
      <c r="G43" s="132">
        <f t="shared" ca="1" si="9"/>
        <v>1441333.2374999998</v>
      </c>
      <c r="H43" s="41">
        <f t="shared" ca="1" si="11"/>
        <v>269.56794314326493</v>
      </c>
      <c r="I43" s="84">
        <f t="shared" si="6"/>
        <v>158</v>
      </c>
      <c r="J43" s="50"/>
      <c r="K43" s="24">
        <f t="shared" si="4"/>
        <v>0</v>
      </c>
      <c r="L43" s="62">
        <f t="shared" ca="1" si="0"/>
        <v>11991</v>
      </c>
      <c r="M43" s="3">
        <f>SUM($J$21:J43)</f>
        <v>0</v>
      </c>
      <c r="N43" s="3">
        <f>COUNT($B$21:B43)</f>
        <v>23</v>
      </c>
      <c r="O43" s="3">
        <f t="shared" si="7"/>
        <v>23</v>
      </c>
      <c r="P43" s="10"/>
    </row>
    <row r="44" spans="1:17" s="3" customFormat="1" x14ac:dyDescent="0.35">
      <c r="A44" s="55">
        <f t="shared" ca="1" si="10"/>
        <v>46578</v>
      </c>
      <c r="B44" s="39">
        <v>24</v>
      </c>
      <c r="C44" s="40">
        <f t="shared" ca="1" si="1"/>
        <v>5386.9829751562493</v>
      </c>
      <c r="D44" s="24">
        <f t="shared" ca="1" si="2"/>
        <v>4475.339702437499</v>
      </c>
      <c r="E44" s="24">
        <f t="shared" ca="1" si="8"/>
        <v>716.05435238999985</v>
      </c>
      <c r="F44" s="24">
        <f t="shared" ca="1" si="3"/>
        <v>1552.7877316361275</v>
      </c>
      <c r="G44" s="132">
        <f t="shared" ca="1" si="9"/>
        <v>1491779.9008124997</v>
      </c>
      <c r="H44" s="41">
        <f t="shared" ca="1" si="11"/>
        <v>279.00282115327923</v>
      </c>
      <c r="I44" s="84">
        <f t="shared" si="6"/>
        <v>157</v>
      </c>
      <c r="J44" s="50"/>
      <c r="K44" s="24">
        <f t="shared" si="4"/>
        <v>0</v>
      </c>
      <c r="L44" s="62">
        <f t="shared" ca="1" si="0"/>
        <v>12411</v>
      </c>
      <c r="M44" s="3">
        <f>SUM($J$21:J44)</f>
        <v>0</v>
      </c>
      <c r="N44" s="3">
        <f>COUNT($B$21:B44)</f>
        <v>24</v>
      </c>
      <c r="O44" s="3">
        <f t="shared" si="7"/>
        <v>24</v>
      </c>
      <c r="P44" s="10"/>
    </row>
    <row r="45" spans="1:17" s="3" customFormat="1" x14ac:dyDescent="0.35">
      <c r="A45" s="55">
        <f t="shared" ca="1" si="10"/>
        <v>46609</v>
      </c>
      <c r="B45" s="39">
        <v>25</v>
      </c>
      <c r="C45" s="40">
        <f t="shared" ca="1" si="1"/>
        <v>5386.9829751562493</v>
      </c>
      <c r="D45" s="24">
        <f t="shared" ca="1" si="2"/>
        <v>4475.339702437499</v>
      </c>
      <c r="E45" s="24">
        <f t="shared" ca="1" si="8"/>
        <v>716.05435238999985</v>
      </c>
      <c r="F45" s="24">
        <f t="shared" ca="1" si="3"/>
        <v>1552.7877316361275</v>
      </c>
      <c r="G45" s="132">
        <f t="shared" ca="1" si="9"/>
        <v>1491779.9008124997</v>
      </c>
      <c r="H45" s="41">
        <f t="shared" ca="1" si="11"/>
        <v>279.00282115327923</v>
      </c>
      <c r="I45" s="84">
        <f t="shared" si="6"/>
        <v>156</v>
      </c>
      <c r="J45" s="50"/>
      <c r="K45" s="24">
        <f t="shared" si="4"/>
        <v>0</v>
      </c>
      <c r="L45" s="62">
        <f t="shared" ca="1" si="0"/>
        <v>12411</v>
      </c>
      <c r="M45" s="3">
        <f>SUM($J$21:J45)</f>
        <v>0</v>
      </c>
      <c r="N45" s="3">
        <f>COUNT($B$21:B45)</f>
        <v>25</v>
      </c>
      <c r="O45" s="3">
        <f t="shared" si="7"/>
        <v>25</v>
      </c>
      <c r="P45" s="10"/>
    </row>
    <row r="46" spans="1:17" s="3" customFormat="1" x14ac:dyDescent="0.35">
      <c r="A46" s="55">
        <f t="shared" ca="1" si="10"/>
        <v>46640</v>
      </c>
      <c r="B46" s="39">
        <v>26</v>
      </c>
      <c r="C46" s="40">
        <f t="shared" ca="1" si="1"/>
        <v>5386.9829751562493</v>
      </c>
      <c r="D46" s="24">
        <f t="shared" ca="1" si="2"/>
        <v>4475.339702437499</v>
      </c>
      <c r="E46" s="24">
        <f t="shared" ca="1" si="8"/>
        <v>716.05435238999985</v>
      </c>
      <c r="F46" s="24">
        <f t="shared" ca="1" si="3"/>
        <v>1552.7877316361275</v>
      </c>
      <c r="G46" s="132">
        <f t="shared" ca="1" si="9"/>
        <v>1491779.9008124997</v>
      </c>
      <c r="H46" s="41">
        <f t="shared" ca="1" si="11"/>
        <v>279.00282115327923</v>
      </c>
      <c r="I46" s="84">
        <f t="shared" si="6"/>
        <v>155</v>
      </c>
      <c r="J46" s="50"/>
      <c r="K46" s="24">
        <f t="shared" si="4"/>
        <v>0</v>
      </c>
      <c r="L46" s="62">
        <f t="shared" ca="1" si="0"/>
        <v>12411</v>
      </c>
      <c r="M46" s="3">
        <f>SUM($J$21:J46)</f>
        <v>0</v>
      </c>
      <c r="N46" s="3">
        <f>COUNT($B$21:B46)</f>
        <v>26</v>
      </c>
      <c r="O46" s="3">
        <f t="shared" si="7"/>
        <v>26</v>
      </c>
      <c r="P46" s="10"/>
    </row>
    <row r="47" spans="1:17" s="3" customFormat="1" x14ac:dyDescent="0.35">
      <c r="A47" s="55">
        <f t="shared" ca="1" si="10"/>
        <v>46670</v>
      </c>
      <c r="B47" s="39">
        <v>27</v>
      </c>
      <c r="C47" s="40">
        <f t="shared" ca="1" si="1"/>
        <v>5386.9829751562493</v>
      </c>
      <c r="D47" s="24">
        <f t="shared" ca="1" si="2"/>
        <v>4475.339702437499</v>
      </c>
      <c r="E47" s="24">
        <f t="shared" ca="1" si="8"/>
        <v>716.05435238999985</v>
      </c>
      <c r="F47" s="24">
        <f t="shared" ca="1" si="3"/>
        <v>1552.7877316361275</v>
      </c>
      <c r="G47" s="132">
        <f t="shared" ca="1" si="9"/>
        <v>1491779.9008124997</v>
      </c>
      <c r="H47" s="41">
        <f t="shared" ca="1" si="11"/>
        <v>279.00282115327923</v>
      </c>
      <c r="I47" s="84">
        <f t="shared" si="6"/>
        <v>154</v>
      </c>
      <c r="J47" s="50"/>
      <c r="K47" s="24">
        <f t="shared" si="4"/>
        <v>0</v>
      </c>
      <c r="L47" s="62">
        <f t="shared" ca="1" si="0"/>
        <v>12411</v>
      </c>
      <c r="M47" s="3">
        <f>SUM($J$21:J47)</f>
        <v>0</v>
      </c>
      <c r="N47" s="3">
        <f>COUNT($B$21:B47)</f>
        <v>27</v>
      </c>
      <c r="O47" s="3">
        <f t="shared" si="7"/>
        <v>27</v>
      </c>
      <c r="P47" s="10"/>
    </row>
    <row r="48" spans="1:17" s="3" customFormat="1" x14ac:dyDescent="0.35">
      <c r="A48" s="55">
        <f t="shared" ca="1" si="10"/>
        <v>46701</v>
      </c>
      <c r="B48" s="39">
        <v>28</v>
      </c>
      <c r="C48" s="40">
        <f t="shared" ca="1" si="1"/>
        <v>5386.9829751562493</v>
      </c>
      <c r="D48" s="24">
        <f t="shared" ca="1" si="2"/>
        <v>4475.339702437499</v>
      </c>
      <c r="E48" s="24">
        <f t="shared" ca="1" si="8"/>
        <v>716.05435238999985</v>
      </c>
      <c r="F48" s="24">
        <f t="shared" ca="1" si="3"/>
        <v>1552.7877316361275</v>
      </c>
      <c r="G48" s="132">
        <f t="shared" ca="1" si="9"/>
        <v>1491779.9008124997</v>
      </c>
      <c r="H48" s="41">
        <f t="shared" ca="1" si="11"/>
        <v>279.00282115327923</v>
      </c>
      <c r="I48" s="84">
        <f t="shared" si="6"/>
        <v>153</v>
      </c>
      <c r="J48" s="50"/>
      <c r="K48" s="24">
        <f t="shared" si="4"/>
        <v>0</v>
      </c>
      <c r="L48" s="62">
        <f t="shared" ca="1" si="0"/>
        <v>12411</v>
      </c>
      <c r="M48" s="3">
        <f>SUM($J$21:J48)</f>
        <v>0</v>
      </c>
      <c r="N48" s="3">
        <f>COUNT($B$21:B48)</f>
        <v>28</v>
      </c>
      <c r="O48" s="3">
        <f t="shared" si="7"/>
        <v>28</v>
      </c>
      <c r="P48" s="10"/>
    </row>
    <row r="49" spans="1:16" s="3" customFormat="1" x14ac:dyDescent="0.35">
      <c r="A49" s="55">
        <f t="shared" ca="1" si="10"/>
        <v>46731</v>
      </c>
      <c r="B49" s="39">
        <v>29</v>
      </c>
      <c r="C49" s="40">
        <f t="shared" ca="1" si="1"/>
        <v>5386.9829751562493</v>
      </c>
      <c r="D49" s="24">
        <f t="shared" ca="1" si="2"/>
        <v>4475.339702437499</v>
      </c>
      <c r="E49" s="24">
        <f t="shared" ca="1" si="8"/>
        <v>716.05435238999985</v>
      </c>
      <c r="F49" s="24">
        <f t="shared" ca="1" si="3"/>
        <v>1552.7877316361275</v>
      </c>
      <c r="G49" s="132">
        <f t="shared" ca="1" si="9"/>
        <v>1491779.9008124997</v>
      </c>
      <c r="H49" s="41">
        <f t="shared" ca="1" si="11"/>
        <v>279.00282115327923</v>
      </c>
      <c r="I49" s="84">
        <f t="shared" si="6"/>
        <v>152</v>
      </c>
      <c r="J49" s="50"/>
      <c r="K49" s="24">
        <f t="shared" si="4"/>
        <v>0</v>
      </c>
      <c r="L49" s="62">
        <f t="shared" ca="1" si="0"/>
        <v>12411</v>
      </c>
      <c r="M49" s="3">
        <f>SUM($J$21:J49)</f>
        <v>0</v>
      </c>
      <c r="N49" s="3">
        <f>COUNT($B$21:B49)</f>
        <v>29</v>
      </c>
      <c r="O49" s="3">
        <f t="shared" si="7"/>
        <v>29</v>
      </c>
      <c r="P49" s="10"/>
    </row>
    <row r="50" spans="1:16" s="3" customFormat="1" x14ac:dyDescent="0.35">
      <c r="A50" s="55">
        <f t="shared" ca="1" si="10"/>
        <v>46762</v>
      </c>
      <c r="B50" s="39">
        <v>30</v>
      </c>
      <c r="C50" s="40">
        <f t="shared" ca="1" si="1"/>
        <v>5575.5273792867174</v>
      </c>
      <c r="D50" s="24">
        <f t="shared" ca="1" si="2"/>
        <v>4631.976592022811</v>
      </c>
      <c r="E50" s="24">
        <f t="shared" ca="1" si="8"/>
        <v>741.11625472364983</v>
      </c>
      <c r="F50" s="24">
        <f t="shared" ca="1" si="3"/>
        <v>1607.1353022433921</v>
      </c>
      <c r="G50" s="132">
        <f t="shared" ca="1" si="9"/>
        <v>1543992.1973409371</v>
      </c>
      <c r="H50" s="41">
        <f t="shared" ca="1" si="11"/>
        <v>288.76791989364392</v>
      </c>
      <c r="I50" s="84">
        <f t="shared" si="6"/>
        <v>151</v>
      </c>
      <c r="J50" s="50"/>
      <c r="K50" s="24">
        <f t="shared" si="4"/>
        <v>0</v>
      </c>
      <c r="L50" s="62">
        <f t="shared" ca="1" si="0"/>
        <v>12845</v>
      </c>
      <c r="M50" s="3">
        <f>SUM($J$21:J50)</f>
        <v>0</v>
      </c>
      <c r="N50" s="3">
        <f>COUNT($B$21:B50)</f>
        <v>30</v>
      </c>
      <c r="O50" s="3">
        <f t="shared" si="7"/>
        <v>30</v>
      </c>
      <c r="P50" s="10"/>
    </row>
    <row r="51" spans="1:16" s="3" customFormat="1" x14ac:dyDescent="0.35">
      <c r="A51" s="55">
        <f t="shared" ca="1" si="10"/>
        <v>46793</v>
      </c>
      <c r="B51" s="39">
        <v>31</v>
      </c>
      <c r="C51" s="40">
        <f t="shared" ca="1" si="1"/>
        <v>5575.5273792867174</v>
      </c>
      <c r="D51" s="24">
        <f t="shared" ca="1" si="2"/>
        <v>4631.976592022811</v>
      </c>
      <c r="E51" s="24">
        <f t="shared" ca="1" si="8"/>
        <v>741.11625472364983</v>
      </c>
      <c r="F51" s="24">
        <f t="shared" ca="1" si="3"/>
        <v>1607.1353022433921</v>
      </c>
      <c r="G51" s="132">
        <f t="shared" ca="1" si="9"/>
        <v>1543992.1973409371</v>
      </c>
      <c r="H51" s="41">
        <f t="shared" ca="1" si="11"/>
        <v>288.76791989364392</v>
      </c>
      <c r="I51" s="84">
        <f t="shared" si="6"/>
        <v>150</v>
      </c>
      <c r="J51" s="50"/>
      <c r="K51" s="24">
        <f t="shared" si="4"/>
        <v>0</v>
      </c>
      <c r="L51" s="62">
        <f t="shared" ca="1" si="0"/>
        <v>12845</v>
      </c>
      <c r="M51" s="3">
        <f>SUM($J$21:J51)</f>
        <v>0</v>
      </c>
      <c r="N51" s="3">
        <f>COUNT($B$21:B51)</f>
        <v>31</v>
      </c>
      <c r="O51" s="3">
        <f t="shared" si="7"/>
        <v>31</v>
      </c>
      <c r="P51" s="10"/>
    </row>
    <row r="52" spans="1:16" s="3" customFormat="1" x14ac:dyDescent="0.35">
      <c r="A52" s="55">
        <f t="shared" ca="1" si="10"/>
        <v>46822</v>
      </c>
      <c r="B52" s="39">
        <v>32</v>
      </c>
      <c r="C52" s="40">
        <f t="shared" ca="1" si="1"/>
        <v>5575.5273792867174</v>
      </c>
      <c r="D52" s="24">
        <f t="shared" ca="1" si="2"/>
        <v>4631.976592022811</v>
      </c>
      <c r="E52" s="24">
        <f t="shared" ca="1" si="8"/>
        <v>741.11625472364983</v>
      </c>
      <c r="F52" s="24">
        <f t="shared" ca="1" si="3"/>
        <v>1607.1353022433921</v>
      </c>
      <c r="G52" s="132">
        <f t="shared" ca="1" si="9"/>
        <v>1543992.1973409371</v>
      </c>
      <c r="H52" s="41">
        <f t="shared" ca="1" si="11"/>
        <v>288.76791989364392</v>
      </c>
      <c r="I52" s="84">
        <f t="shared" si="6"/>
        <v>149</v>
      </c>
      <c r="J52" s="50"/>
      <c r="K52" s="24">
        <f t="shared" si="4"/>
        <v>0</v>
      </c>
      <c r="L52" s="62">
        <f t="shared" ca="1" si="0"/>
        <v>12845</v>
      </c>
      <c r="M52" s="3">
        <f>SUM($J$21:J52)</f>
        <v>0</v>
      </c>
      <c r="N52" s="3">
        <f>COUNT($B$21:B52)</f>
        <v>32</v>
      </c>
      <c r="O52" s="3">
        <f t="shared" si="7"/>
        <v>32</v>
      </c>
      <c r="P52" s="10"/>
    </row>
    <row r="53" spans="1:16" s="3" customFormat="1" x14ac:dyDescent="0.35">
      <c r="A53" s="55">
        <f t="shared" ca="1" si="10"/>
        <v>46853</v>
      </c>
      <c r="B53" s="39">
        <v>33</v>
      </c>
      <c r="C53" s="40">
        <f t="shared" ca="1" si="1"/>
        <v>5575.5273792867174</v>
      </c>
      <c r="D53" s="24">
        <f t="shared" ca="1" si="2"/>
        <v>4631.976592022811</v>
      </c>
      <c r="E53" s="24">
        <f t="shared" ca="1" si="8"/>
        <v>741.11625472364983</v>
      </c>
      <c r="F53" s="24">
        <f t="shared" ca="1" si="3"/>
        <v>1607.1353022433921</v>
      </c>
      <c r="G53" s="132">
        <f t="shared" ca="1" si="9"/>
        <v>1543992.1973409371</v>
      </c>
      <c r="H53" s="41">
        <f t="shared" ca="1" si="11"/>
        <v>288.76791989364392</v>
      </c>
      <c r="I53" s="84">
        <f t="shared" si="6"/>
        <v>148</v>
      </c>
      <c r="J53" s="50"/>
      <c r="K53" s="24">
        <f t="shared" si="4"/>
        <v>0</v>
      </c>
      <c r="L53" s="62">
        <f t="shared" ca="1" si="0"/>
        <v>12845</v>
      </c>
      <c r="M53" s="3">
        <f>SUM($J$21:J53)</f>
        <v>0</v>
      </c>
      <c r="N53" s="3">
        <f>COUNT($B$21:B53)</f>
        <v>33</v>
      </c>
      <c r="O53" s="3">
        <f t="shared" si="7"/>
        <v>33</v>
      </c>
      <c r="P53" s="10"/>
    </row>
    <row r="54" spans="1:16" s="3" customFormat="1" x14ac:dyDescent="0.35">
      <c r="A54" s="55">
        <f t="shared" ca="1" si="10"/>
        <v>46883</v>
      </c>
      <c r="B54" s="39">
        <v>34</v>
      </c>
      <c r="C54" s="40">
        <f t="shared" ref="C54:C85" ca="1" si="12">IF(O53&gt;179,0,(G54*$L$2)/$D$9)</f>
        <v>5575.5273792867174</v>
      </c>
      <c r="D54" s="24">
        <f t="shared" ref="D54:D85" ca="1" si="13">IF(O53&gt;179,0,(G54*$D$3))</f>
        <v>4631.976592022811</v>
      </c>
      <c r="E54" s="24">
        <f t="shared" ca="1" si="8"/>
        <v>741.11625472364983</v>
      </c>
      <c r="F54" s="24">
        <f t="shared" ref="F54:F85" ca="1" si="14">IF(O53&gt;179,0,((G54/$D$9)+D54+E54)*($D$9)*(0.064%))</f>
        <v>1607.1353022433921</v>
      </c>
      <c r="G54" s="132">
        <f t="shared" ca="1" si="9"/>
        <v>1543992.1973409371</v>
      </c>
      <c r="H54" s="41">
        <f t="shared" ca="1" si="11"/>
        <v>288.76791989364392</v>
      </c>
      <c r="I54" s="84">
        <f t="shared" si="6"/>
        <v>147</v>
      </c>
      <c r="J54" s="50"/>
      <c r="K54" s="24">
        <f t="shared" si="4"/>
        <v>0</v>
      </c>
      <c r="L54" s="62">
        <f t="shared" ca="1" si="0"/>
        <v>12845</v>
      </c>
      <c r="M54" s="3">
        <f>SUM($J$21:J54)</f>
        <v>0</v>
      </c>
      <c r="N54" s="3">
        <f>COUNT($B$21:B54)</f>
        <v>34</v>
      </c>
      <c r="O54" s="3">
        <f t="shared" si="7"/>
        <v>34</v>
      </c>
      <c r="P54" s="10"/>
    </row>
    <row r="55" spans="1:16" s="3" customFormat="1" x14ac:dyDescent="0.35">
      <c r="A55" s="55">
        <f t="shared" ca="1" si="10"/>
        <v>46914</v>
      </c>
      <c r="B55" s="39">
        <v>35</v>
      </c>
      <c r="C55" s="40">
        <f t="shared" ca="1" si="12"/>
        <v>5575.5273792867174</v>
      </c>
      <c r="D55" s="24">
        <f t="shared" ca="1" si="13"/>
        <v>4631.976592022811</v>
      </c>
      <c r="E55" s="24">
        <f t="shared" ca="1" si="8"/>
        <v>741.11625472364983</v>
      </c>
      <c r="F55" s="24">
        <f t="shared" ca="1" si="14"/>
        <v>1607.1353022433921</v>
      </c>
      <c r="G55" s="132">
        <f t="shared" ca="1" si="9"/>
        <v>1543992.1973409371</v>
      </c>
      <c r="H55" s="41">
        <f t="shared" ca="1" si="11"/>
        <v>288.76791989364392</v>
      </c>
      <c r="I55" s="84">
        <f t="shared" si="6"/>
        <v>146</v>
      </c>
      <c r="J55" s="50"/>
      <c r="K55" s="24">
        <f t="shared" si="4"/>
        <v>0</v>
      </c>
      <c r="L55" s="62">
        <f t="shared" ca="1" si="0"/>
        <v>12845</v>
      </c>
      <c r="M55" s="3">
        <f>SUM($J$21:J55)</f>
        <v>0</v>
      </c>
      <c r="N55" s="3">
        <f>COUNT($B$21:B55)</f>
        <v>35</v>
      </c>
      <c r="O55" s="3">
        <f t="shared" si="7"/>
        <v>35</v>
      </c>
      <c r="P55" s="10"/>
    </row>
    <row r="56" spans="1:16" s="3" customFormat="1" x14ac:dyDescent="0.35">
      <c r="A56" s="55">
        <f t="shared" ca="1" si="10"/>
        <v>46944</v>
      </c>
      <c r="B56" s="39">
        <v>36</v>
      </c>
      <c r="C56" s="40">
        <f t="shared" ca="1" si="12"/>
        <v>5770.6708375617518</v>
      </c>
      <c r="D56" s="24">
        <f t="shared" ca="1" si="13"/>
        <v>4794.0957727436098</v>
      </c>
      <c r="E56" s="24">
        <f t="shared" ca="1" si="8"/>
        <v>767.0553236389776</v>
      </c>
      <c r="F56" s="24">
        <f t="shared" ca="1" si="14"/>
        <v>1663.3850378219108</v>
      </c>
      <c r="G56" s="132">
        <f t="shared" ca="1" si="9"/>
        <v>1598031.9242478698</v>
      </c>
      <c r="H56" s="41">
        <f t="shared" ca="1" si="11"/>
        <v>298.87479708992146</v>
      </c>
      <c r="I56" s="84">
        <f t="shared" si="6"/>
        <v>145</v>
      </c>
      <c r="J56" s="50"/>
      <c r="K56" s="24">
        <f t="shared" si="4"/>
        <v>0</v>
      </c>
      <c r="L56" s="62">
        <f t="shared" ca="1" si="0"/>
        <v>13295</v>
      </c>
      <c r="M56" s="3">
        <f>SUM($J$21:J56)</f>
        <v>0</v>
      </c>
      <c r="N56" s="3">
        <f>COUNT($B$21:B56)</f>
        <v>36</v>
      </c>
      <c r="O56" s="3">
        <f t="shared" si="7"/>
        <v>36</v>
      </c>
      <c r="P56" s="10"/>
    </row>
    <row r="57" spans="1:16" s="3" customFormat="1" x14ac:dyDescent="0.35">
      <c r="A57" s="55">
        <f t="shared" ca="1" si="10"/>
        <v>46975</v>
      </c>
      <c r="B57" s="39">
        <v>37</v>
      </c>
      <c r="C57" s="40">
        <f t="shared" ca="1" si="12"/>
        <v>5770.6708375617518</v>
      </c>
      <c r="D57" s="24">
        <f t="shared" ca="1" si="13"/>
        <v>4794.0957727436098</v>
      </c>
      <c r="E57" s="24">
        <f t="shared" ca="1" si="8"/>
        <v>767.0553236389776</v>
      </c>
      <c r="F57" s="24">
        <f t="shared" ca="1" si="14"/>
        <v>1663.3850378219108</v>
      </c>
      <c r="G57" s="132">
        <f t="shared" ca="1" si="9"/>
        <v>1598031.9242478698</v>
      </c>
      <c r="H57" s="41">
        <f t="shared" ca="1" si="11"/>
        <v>298.87479708992146</v>
      </c>
      <c r="I57" s="84">
        <f t="shared" si="6"/>
        <v>144</v>
      </c>
      <c r="J57" s="50"/>
      <c r="K57" s="24">
        <f t="shared" si="4"/>
        <v>0</v>
      </c>
      <c r="L57" s="62">
        <f t="shared" ca="1" si="0"/>
        <v>13295</v>
      </c>
      <c r="M57" s="3">
        <f>SUM($J$21:J57)</f>
        <v>0</v>
      </c>
      <c r="N57" s="3">
        <f>COUNT($B$21:B57)</f>
        <v>37</v>
      </c>
      <c r="O57" s="3">
        <f t="shared" si="7"/>
        <v>37</v>
      </c>
      <c r="P57" s="10"/>
    </row>
    <row r="58" spans="1:16" s="3" customFormat="1" x14ac:dyDescent="0.35">
      <c r="A58" s="55">
        <f t="shared" ca="1" si="10"/>
        <v>47006</v>
      </c>
      <c r="B58" s="39">
        <v>38</v>
      </c>
      <c r="C58" s="40">
        <f t="shared" ca="1" si="12"/>
        <v>5770.6708375617518</v>
      </c>
      <c r="D58" s="24">
        <f t="shared" ca="1" si="13"/>
        <v>4794.0957727436098</v>
      </c>
      <c r="E58" s="24">
        <f t="shared" ca="1" si="8"/>
        <v>767.0553236389776</v>
      </c>
      <c r="F58" s="24">
        <f t="shared" ca="1" si="14"/>
        <v>1663.3850378219108</v>
      </c>
      <c r="G58" s="132">
        <f t="shared" ca="1" si="9"/>
        <v>1598031.9242478698</v>
      </c>
      <c r="H58" s="41">
        <f t="shared" ca="1" si="11"/>
        <v>298.87479708992146</v>
      </c>
      <c r="I58" s="84">
        <f t="shared" si="6"/>
        <v>143</v>
      </c>
      <c r="J58" s="50"/>
      <c r="K58" s="24">
        <f t="shared" si="4"/>
        <v>0</v>
      </c>
      <c r="L58" s="62">
        <f t="shared" ca="1" si="0"/>
        <v>13295</v>
      </c>
      <c r="M58" s="3">
        <f>SUM($J$21:J58)</f>
        <v>0</v>
      </c>
      <c r="N58" s="3">
        <f>COUNT($B$21:B58)</f>
        <v>38</v>
      </c>
      <c r="O58" s="3">
        <f t="shared" si="7"/>
        <v>38</v>
      </c>
      <c r="P58" s="10"/>
    </row>
    <row r="59" spans="1:16" s="3" customFormat="1" x14ac:dyDescent="0.35">
      <c r="A59" s="55">
        <f t="shared" ca="1" si="10"/>
        <v>47036</v>
      </c>
      <c r="B59" s="39">
        <v>39</v>
      </c>
      <c r="C59" s="40">
        <f t="shared" ca="1" si="12"/>
        <v>5770.6708375617518</v>
      </c>
      <c r="D59" s="24">
        <f t="shared" ca="1" si="13"/>
        <v>4794.0957727436098</v>
      </c>
      <c r="E59" s="24">
        <f t="shared" ca="1" si="8"/>
        <v>767.0553236389776</v>
      </c>
      <c r="F59" s="24">
        <f t="shared" ca="1" si="14"/>
        <v>1663.3850378219108</v>
      </c>
      <c r="G59" s="132">
        <f t="shared" ca="1" si="9"/>
        <v>1598031.9242478698</v>
      </c>
      <c r="H59" s="41">
        <f t="shared" ca="1" si="11"/>
        <v>298.87479708992146</v>
      </c>
      <c r="I59" s="84">
        <f t="shared" si="6"/>
        <v>142</v>
      </c>
      <c r="J59" s="50"/>
      <c r="K59" s="24">
        <f t="shared" si="4"/>
        <v>0</v>
      </c>
      <c r="L59" s="62">
        <f t="shared" ca="1" si="0"/>
        <v>13295</v>
      </c>
      <c r="M59" s="3">
        <f>SUM($J$21:J59)</f>
        <v>0</v>
      </c>
      <c r="N59" s="3">
        <f>COUNT($B$21:B59)</f>
        <v>39</v>
      </c>
      <c r="O59" s="3">
        <f t="shared" si="7"/>
        <v>39</v>
      </c>
      <c r="P59" s="10"/>
    </row>
    <row r="60" spans="1:16" s="3" customFormat="1" x14ac:dyDescent="0.35">
      <c r="A60" s="55">
        <f t="shared" ca="1" si="10"/>
        <v>47067</v>
      </c>
      <c r="B60" s="39">
        <v>40</v>
      </c>
      <c r="C60" s="40">
        <f t="shared" ca="1" si="12"/>
        <v>5770.6708375617518</v>
      </c>
      <c r="D60" s="24">
        <f t="shared" ca="1" si="13"/>
        <v>4794.0957727436098</v>
      </c>
      <c r="E60" s="24">
        <f t="shared" ca="1" si="8"/>
        <v>767.0553236389776</v>
      </c>
      <c r="F60" s="24">
        <f t="shared" ca="1" si="14"/>
        <v>1663.3850378219108</v>
      </c>
      <c r="G60" s="132">
        <f t="shared" ca="1" si="9"/>
        <v>1598031.9242478698</v>
      </c>
      <c r="H60" s="41">
        <f t="shared" ca="1" si="11"/>
        <v>298.87479708992146</v>
      </c>
      <c r="I60" s="84">
        <f t="shared" si="6"/>
        <v>141</v>
      </c>
      <c r="J60" s="50"/>
      <c r="K60" s="24">
        <f t="shared" si="4"/>
        <v>0</v>
      </c>
      <c r="L60" s="62">
        <f t="shared" ca="1" si="0"/>
        <v>13295</v>
      </c>
      <c r="M60" s="3">
        <f>SUM($J$21:J60)</f>
        <v>0</v>
      </c>
      <c r="N60" s="3">
        <f>COUNT($B$21:B60)</f>
        <v>40</v>
      </c>
      <c r="O60" s="3">
        <f t="shared" si="7"/>
        <v>40</v>
      </c>
      <c r="P60" s="10"/>
    </row>
    <row r="61" spans="1:16" s="3" customFormat="1" x14ac:dyDescent="0.35">
      <c r="A61" s="55">
        <f t="shared" ca="1" si="10"/>
        <v>47097</v>
      </c>
      <c r="B61" s="39">
        <v>41</v>
      </c>
      <c r="C61" s="40">
        <f t="shared" ca="1" si="12"/>
        <v>5770.6708375617518</v>
      </c>
      <c r="D61" s="24">
        <f t="shared" ca="1" si="13"/>
        <v>4794.0957727436098</v>
      </c>
      <c r="E61" s="24">
        <f t="shared" ca="1" si="8"/>
        <v>767.0553236389776</v>
      </c>
      <c r="F61" s="24">
        <f t="shared" ca="1" si="14"/>
        <v>1663.3850378219108</v>
      </c>
      <c r="G61" s="132">
        <f t="shared" ca="1" si="9"/>
        <v>1598031.9242478698</v>
      </c>
      <c r="H61" s="41">
        <f t="shared" ca="1" si="11"/>
        <v>298.87479708992146</v>
      </c>
      <c r="I61" s="84">
        <f t="shared" si="6"/>
        <v>140</v>
      </c>
      <c r="J61" s="50"/>
      <c r="K61" s="24">
        <f t="shared" si="4"/>
        <v>0</v>
      </c>
      <c r="L61" s="62">
        <f t="shared" ca="1" si="0"/>
        <v>13295</v>
      </c>
      <c r="M61" s="3">
        <f>SUM($J$21:J61)</f>
        <v>0</v>
      </c>
      <c r="N61" s="3">
        <f>COUNT($B$21:B61)</f>
        <v>41</v>
      </c>
      <c r="O61" s="3">
        <f t="shared" si="7"/>
        <v>41</v>
      </c>
      <c r="P61" s="10"/>
    </row>
    <row r="62" spans="1:16" s="3" customFormat="1" x14ac:dyDescent="0.35">
      <c r="A62" s="55">
        <f t="shared" ca="1" si="10"/>
        <v>47128</v>
      </c>
      <c r="B62" s="39">
        <v>42</v>
      </c>
      <c r="C62" s="40">
        <f t="shared" ca="1" si="12"/>
        <v>5972.6443168764135</v>
      </c>
      <c r="D62" s="24">
        <f t="shared" ca="1" si="13"/>
        <v>4961.8891247896354</v>
      </c>
      <c r="E62" s="24">
        <f t="shared" ca="1" si="8"/>
        <v>793.90225996634172</v>
      </c>
      <c r="F62" s="24">
        <f t="shared" ca="1" si="14"/>
        <v>1721.6035141456778</v>
      </c>
      <c r="G62" s="132">
        <f t="shared" ca="1" si="9"/>
        <v>1653963.0415965451</v>
      </c>
      <c r="H62" s="41">
        <f t="shared" ca="1" si="11"/>
        <v>309.33541498806869</v>
      </c>
      <c r="I62" s="84">
        <f t="shared" si="6"/>
        <v>139</v>
      </c>
      <c r="J62" s="50"/>
      <c r="K62" s="24">
        <f t="shared" si="4"/>
        <v>0</v>
      </c>
      <c r="L62" s="62">
        <f t="shared" ca="1" si="0"/>
        <v>13760</v>
      </c>
      <c r="M62" s="3">
        <f>SUM($J$21:J62)</f>
        <v>0</v>
      </c>
      <c r="N62" s="3">
        <f>COUNT($B$21:B62)</f>
        <v>42</v>
      </c>
      <c r="O62" s="3">
        <f t="shared" si="7"/>
        <v>42</v>
      </c>
      <c r="P62" s="10"/>
    </row>
    <row r="63" spans="1:16" s="3" customFormat="1" x14ac:dyDescent="0.35">
      <c r="A63" s="55">
        <f t="shared" ca="1" si="10"/>
        <v>47159</v>
      </c>
      <c r="B63" s="39">
        <v>43</v>
      </c>
      <c r="C63" s="40">
        <f t="shared" ca="1" si="12"/>
        <v>5972.6443168764135</v>
      </c>
      <c r="D63" s="24">
        <f t="shared" ca="1" si="13"/>
        <v>4961.8891247896354</v>
      </c>
      <c r="E63" s="24">
        <f t="shared" ca="1" si="8"/>
        <v>793.90225996634172</v>
      </c>
      <c r="F63" s="24">
        <f t="shared" ca="1" si="14"/>
        <v>1721.6035141456778</v>
      </c>
      <c r="G63" s="132">
        <f t="shared" ca="1" si="9"/>
        <v>1653963.0415965451</v>
      </c>
      <c r="H63" s="41">
        <f t="shared" ca="1" si="11"/>
        <v>309.33541498806869</v>
      </c>
      <c r="I63" s="84">
        <f t="shared" si="6"/>
        <v>138</v>
      </c>
      <c r="J63" s="50"/>
      <c r="K63" s="24">
        <f t="shared" si="4"/>
        <v>0</v>
      </c>
      <c r="L63" s="62">
        <f t="shared" ca="1" si="0"/>
        <v>13760</v>
      </c>
      <c r="M63" s="3">
        <f>SUM($J$21:J63)</f>
        <v>0</v>
      </c>
      <c r="N63" s="3">
        <f>COUNT($B$21:B63)</f>
        <v>43</v>
      </c>
      <c r="O63" s="3">
        <f t="shared" si="7"/>
        <v>43</v>
      </c>
      <c r="P63" s="10"/>
    </row>
    <row r="64" spans="1:16" s="3" customFormat="1" x14ac:dyDescent="0.35">
      <c r="A64" s="55">
        <f t="shared" ca="1" si="10"/>
        <v>47187</v>
      </c>
      <c r="B64" s="39">
        <v>44</v>
      </c>
      <c r="C64" s="40">
        <f t="shared" ca="1" si="12"/>
        <v>5972.6443168764135</v>
      </c>
      <c r="D64" s="24">
        <f t="shared" ca="1" si="13"/>
        <v>4961.8891247896354</v>
      </c>
      <c r="E64" s="24">
        <f t="shared" ca="1" si="8"/>
        <v>793.90225996634172</v>
      </c>
      <c r="F64" s="24">
        <f t="shared" ca="1" si="14"/>
        <v>1721.6035141456778</v>
      </c>
      <c r="G64" s="132">
        <f t="shared" ca="1" si="9"/>
        <v>1653963.0415965451</v>
      </c>
      <c r="H64" s="41">
        <f t="shared" ca="1" si="11"/>
        <v>309.33541498806869</v>
      </c>
      <c r="I64" s="84">
        <f t="shared" si="6"/>
        <v>137</v>
      </c>
      <c r="J64" s="50"/>
      <c r="K64" s="24">
        <f t="shared" si="4"/>
        <v>0</v>
      </c>
      <c r="L64" s="62">
        <f t="shared" ca="1" si="0"/>
        <v>13760</v>
      </c>
      <c r="M64" s="3">
        <f>SUM($J$21:J64)</f>
        <v>0</v>
      </c>
      <c r="N64" s="3">
        <f>COUNT($B$21:B64)</f>
        <v>44</v>
      </c>
      <c r="O64" s="3">
        <f t="shared" si="7"/>
        <v>44</v>
      </c>
      <c r="P64" s="10"/>
    </row>
    <row r="65" spans="1:16" s="3" customFormat="1" x14ac:dyDescent="0.35">
      <c r="A65" s="55">
        <f t="shared" ca="1" si="10"/>
        <v>47218</v>
      </c>
      <c r="B65" s="39">
        <v>45</v>
      </c>
      <c r="C65" s="40">
        <f t="shared" ca="1" si="12"/>
        <v>5972.6443168764135</v>
      </c>
      <c r="D65" s="24">
        <f t="shared" ca="1" si="13"/>
        <v>4961.8891247896354</v>
      </c>
      <c r="E65" s="24">
        <f t="shared" ca="1" si="8"/>
        <v>793.90225996634172</v>
      </c>
      <c r="F65" s="24">
        <f t="shared" ca="1" si="14"/>
        <v>1721.6035141456778</v>
      </c>
      <c r="G65" s="132">
        <f t="shared" ca="1" si="9"/>
        <v>1653963.0415965451</v>
      </c>
      <c r="H65" s="41">
        <f t="shared" ca="1" si="11"/>
        <v>309.33541498806869</v>
      </c>
      <c r="I65" s="84">
        <f t="shared" si="6"/>
        <v>136</v>
      </c>
      <c r="J65" s="50"/>
      <c r="K65" s="24">
        <f t="shared" si="4"/>
        <v>0</v>
      </c>
      <c r="L65" s="62">
        <f t="shared" ca="1" si="0"/>
        <v>13760</v>
      </c>
      <c r="M65" s="3">
        <f>SUM($J$21:J65)</f>
        <v>0</v>
      </c>
      <c r="N65" s="3">
        <f>COUNT($B$21:B65)</f>
        <v>45</v>
      </c>
      <c r="O65" s="3">
        <f t="shared" si="7"/>
        <v>45</v>
      </c>
      <c r="P65" s="10"/>
    </row>
    <row r="66" spans="1:16" s="3" customFormat="1" x14ac:dyDescent="0.35">
      <c r="A66" s="55">
        <f t="shared" ca="1" si="10"/>
        <v>47248</v>
      </c>
      <c r="B66" s="39">
        <v>46</v>
      </c>
      <c r="C66" s="40">
        <f t="shared" ca="1" si="12"/>
        <v>5972.6443168764135</v>
      </c>
      <c r="D66" s="24">
        <f t="shared" ca="1" si="13"/>
        <v>4961.8891247896354</v>
      </c>
      <c r="E66" s="24">
        <f t="shared" ca="1" si="8"/>
        <v>793.90225996634172</v>
      </c>
      <c r="F66" s="24">
        <f t="shared" ca="1" si="14"/>
        <v>1721.6035141456778</v>
      </c>
      <c r="G66" s="132">
        <f t="shared" ca="1" si="9"/>
        <v>1653963.0415965451</v>
      </c>
      <c r="H66" s="41">
        <f t="shared" ca="1" si="11"/>
        <v>309.33541498806869</v>
      </c>
      <c r="I66" s="84">
        <f t="shared" si="6"/>
        <v>135</v>
      </c>
      <c r="J66" s="50"/>
      <c r="K66" s="24">
        <f t="shared" si="4"/>
        <v>0</v>
      </c>
      <c r="L66" s="62">
        <f t="shared" ca="1" si="0"/>
        <v>13760</v>
      </c>
      <c r="M66" s="3">
        <f>SUM($J$21:J66)</f>
        <v>0</v>
      </c>
      <c r="N66" s="3">
        <f>COUNT($B$21:B66)</f>
        <v>46</v>
      </c>
      <c r="O66" s="3">
        <f t="shared" si="7"/>
        <v>46</v>
      </c>
      <c r="P66" s="10"/>
    </row>
    <row r="67" spans="1:16" s="3" customFormat="1" x14ac:dyDescent="0.35">
      <c r="A67" s="55">
        <f t="shared" ca="1" si="10"/>
        <v>47279</v>
      </c>
      <c r="B67" s="39">
        <v>47</v>
      </c>
      <c r="C67" s="40">
        <f t="shared" ca="1" si="12"/>
        <v>5972.6443168764135</v>
      </c>
      <c r="D67" s="24">
        <f t="shared" ca="1" si="13"/>
        <v>4961.8891247896354</v>
      </c>
      <c r="E67" s="24">
        <f t="shared" ca="1" si="8"/>
        <v>793.90225996634172</v>
      </c>
      <c r="F67" s="24">
        <f t="shared" ca="1" si="14"/>
        <v>1721.6035141456778</v>
      </c>
      <c r="G67" s="132">
        <f t="shared" ca="1" si="9"/>
        <v>1653963.0415965451</v>
      </c>
      <c r="H67" s="41">
        <f t="shared" ca="1" si="11"/>
        <v>309.33541498806869</v>
      </c>
      <c r="I67" s="84">
        <f t="shared" si="6"/>
        <v>134</v>
      </c>
      <c r="J67" s="50"/>
      <c r="K67" s="24">
        <f t="shared" si="4"/>
        <v>0</v>
      </c>
      <c r="L67" s="62">
        <f t="shared" ca="1" si="0"/>
        <v>13760</v>
      </c>
      <c r="M67" s="3">
        <f>SUM($J$21:J67)</f>
        <v>0</v>
      </c>
      <c r="N67" s="3">
        <f>COUNT($B$21:B67)</f>
        <v>47</v>
      </c>
      <c r="O67" s="3">
        <f t="shared" si="7"/>
        <v>47</v>
      </c>
      <c r="P67" s="10"/>
    </row>
    <row r="68" spans="1:16" s="3" customFormat="1" x14ac:dyDescent="0.35">
      <c r="A68" s="55">
        <f t="shared" ca="1" si="10"/>
        <v>47309</v>
      </c>
      <c r="B68" s="39">
        <v>48</v>
      </c>
      <c r="C68" s="40">
        <f t="shared" ca="1" si="12"/>
        <v>6181.6868679670879</v>
      </c>
      <c r="D68" s="24">
        <f t="shared" ca="1" si="13"/>
        <v>5135.5552441572727</v>
      </c>
      <c r="E68" s="24">
        <f t="shared" ca="1" si="8"/>
        <v>821.68883906516362</v>
      </c>
      <c r="F68" s="24">
        <f t="shared" ca="1" si="14"/>
        <v>1781.8596371407762</v>
      </c>
      <c r="G68" s="132">
        <f t="shared" ca="1" si="9"/>
        <v>1711851.7480524241</v>
      </c>
      <c r="H68" s="41">
        <f t="shared" ca="1" si="11"/>
        <v>320.16215451265111</v>
      </c>
      <c r="I68" s="84">
        <f t="shared" si="6"/>
        <v>133</v>
      </c>
      <c r="J68" s="50"/>
      <c r="K68" s="24">
        <f t="shared" si="4"/>
        <v>0</v>
      </c>
      <c r="L68" s="62">
        <f t="shared" ca="1" si="0"/>
        <v>14241</v>
      </c>
      <c r="M68" s="3">
        <f>SUM($J$21:J68)</f>
        <v>0</v>
      </c>
      <c r="N68" s="3">
        <f>COUNT($B$21:B68)</f>
        <v>48</v>
      </c>
      <c r="O68" s="3">
        <f t="shared" si="7"/>
        <v>48</v>
      </c>
      <c r="P68" s="10"/>
    </row>
    <row r="69" spans="1:16" s="3" customFormat="1" x14ac:dyDescent="0.35">
      <c r="A69" s="55">
        <f t="shared" ca="1" si="10"/>
        <v>47340</v>
      </c>
      <c r="B69" s="39">
        <v>49</v>
      </c>
      <c r="C69" s="40">
        <f t="shared" ca="1" si="12"/>
        <v>6181.6868679670879</v>
      </c>
      <c r="D69" s="24">
        <f t="shared" ca="1" si="13"/>
        <v>5135.5552441572727</v>
      </c>
      <c r="E69" s="24">
        <f t="shared" ca="1" si="8"/>
        <v>821.68883906516362</v>
      </c>
      <c r="F69" s="24">
        <f t="shared" ca="1" si="14"/>
        <v>1781.8596371407762</v>
      </c>
      <c r="G69" s="132">
        <f t="shared" ca="1" si="9"/>
        <v>1711851.7480524241</v>
      </c>
      <c r="H69" s="41">
        <f t="shared" ca="1" si="11"/>
        <v>320.16215451265111</v>
      </c>
      <c r="I69" s="84">
        <f t="shared" si="6"/>
        <v>132</v>
      </c>
      <c r="J69" s="50"/>
      <c r="K69" s="24">
        <f t="shared" si="4"/>
        <v>0</v>
      </c>
      <c r="L69" s="62">
        <f t="shared" ca="1" si="0"/>
        <v>14241</v>
      </c>
      <c r="M69" s="3">
        <f>SUM($J$21:J69)</f>
        <v>0</v>
      </c>
      <c r="N69" s="3">
        <f>COUNT($B$21:B69)</f>
        <v>49</v>
      </c>
      <c r="O69" s="3">
        <f t="shared" si="7"/>
        <v>49</v>
      </c>
      <c r="P69" s="10"/>
    </row>
    <row r="70" spans="1:16" s="3" customFormat="1" x14ac:dyDescent="0.35">
      <c r="A70" s="55">
        <f t="shared" ca="1" si="10"/>
        <v>47371</v>
      </c>
      <c r="B70" s="39">
        <v>50</v>
      </c>
      <c r="C70" s="40">
        <f t="shared" ca="1" si="12"/>
        <v>6181.6868679670879</v>
      </c>
      <c r="D70" s="24">
        <f t="shared" ca="1" si="13"/>
        <v>5135.5552441572727</v>
      </c>
      <c r="E70" s="24">
        <f t="shared" ca="1" si="8"/>
        <v>821.68883906516362</v>
      </c>
      <c r="F70" s="24">
        <f t="shared" ca="1" si="14"/>
        <v>1781.8596371407762</v>
      </c>
      <c r="G70" s="132">
        <f t="shared" ca="1" si="9"/>
        <v>1711851.7480524241</v>
      </c>
      <c r="H70" s="41">
        <f t="shared" ca="1" si="11"/>
        <v>320.16215451265111</v>
      </c>
      <c r="I70" s="84">
        <f t="shared" si="6"/>
        <v>131</v>
      </c>
      <c r="J70" s="50"/>
      <c r="K70" s="24">
        <f t="shared" si="4"/>
        <v>0</v>
      </c>
      <c r="L70" s="62">
        <f t="shared" ca="1" si="0"/>
        <v>14241</v>
      </c>
      <c r="M70" s="3">
        <f>SUM($J$21:J70)</f>
        <v>0</v>
      </c>
      <c r="N70" s="3">
        <f>COUNT($B$21:B70)</f>
        <v>50</v>
      </c>
      <c r="O70" s="3">
        <f t="shared" si="7"/>
        <v>50</v>
      </c>
      <c r="P70" s="10"/>
    </row>
    <row r="71" spans="1:16" s="3" customFormat="1" x14ac:dyDescent="0.35">
      <c r="A71" s="55">
        <f t="shared" ca="1" si="10"/>
        <v>47401</v>
      </c>
      <c r="B71" s="39">
        <v>51</v>
      </c>
      <c r="C71" s="40">
        <f t="shared" ca="1" si="12"/>
        <v>6181.6868679670879</v>
      </c>
      <c r="D71" s="24">
        <f t="shared" ca="1" si="13"/>
        <v>5135.5552441572727</v>
      </c>
      <c r="E71" s="24">
        <f t="shared" ca="1" si="8"/>
        <v>821.68883906516362</v>
      </c>
      <c r="F71" s="24">
        <f t="shared" ca="1" si="14"/>
        <v>1781.8596371407762</v>
      </c>
      <c r="G71" s="132">
        <f t="shared" ca="1" si="9"/>
        <v>1711851.7480524241</v>
      </c>
      <c r="H71" s="41">
        <f t="shared" ca="1" si="11"/>
        <v>320.16215451265111</v>
      </c>
      <c r="I71" s="84">
        <f t="shared" si="6"/>
        <v>130</v>
      </c>
      <c r="J71" s="50"/>
      <c r="K71" s="24">
        <f t="shared" si="4"/>
        <v>0</v>
      </c>
      <c r="L71" s="62">
        <f t="shared" ca="1" si="0"/>
        <v>14241</v>
      </c>
      <c r="M71" s="3">
        <f>SUM($J$21:J71)</f>
        <v>0</v>
      </c>
      <c r="N71" s="3">
        <f>COUNT($B$21:B71)</f>
        <v>51</v>
      </c>
      <c r="O71" s="3">
        <f t="shared" si="7"/>
        <v>51</v>
      </c>
      <c r="P71" s="10"/>
    </row>
    <row r="72" spans="1:16" s="3" customFormat="1" x14ac:dyDescent="0.35">
      <c r="A72" s="55">
        <f t="shared" ca="1" si="10"/>
        <v>47432</v>
      </c>
      <c r="B72" s="39">
        <v>52</v>
      </c>
      <c r="C72" s="40">
        <f t="shared" ca="1" si="12"/>
        <v>6181.6868679670879</v>
      </c>
      <c r="D72" s="24">
        <f t="shared" ca="1" si="13"/>
        <v>5135.5552441572727</v>
      </c>
      <c r="E72" s="24">
        <f t="shared" ca="1" si="8"/>
        <v>821.68883906516362</v>
      </c>
      <c r="F72" s="24">
        <f t="shared" ca="1" si="14"/>
        <v>1781.8596371407762</v>
      </c>
      <c r="G72" s="132">
        <f t="shared" ca="1" si="9"/>
        <v>1711851.7480524241</v>
      </c>
      <c r="H72" s="41">
        <f t="shared" ca="1" si="11"/>
        <v>320.16215451265111</v>
      </c>
      <c r="I72" s="84">
        <f t="shared" si="6"/>
        <v>129</v>
      </c>
      <c r="J72" s="50"/>
      <c r="K72" s="24">
        <f t="shared" si="4"/>
        <v>0</v>
      </c>
      <c r="L72" s="62">
        <f t="shared" ca="1" si="0"/>
        <v>14241</v>
      </c>
      <c r="M72" s="3">
        <f>SUM($J$21:J72)</f>
        <v>0</v>
      </c>
      <c r="N72" s="3">
        <f>COUNT($B$21:B72)</f>
        <v>52</v>
      </c>
      <c r="O72" s="3">
        <f t="shared" si="7"/>
        <v>52</v>
      </c>
      <c r="P72" s="10"/>
    </row>
    <row r="73" spans="1:16" s="3" customFormat="1" x14ac:dyDescent="0.35">
      <c r="A73" s="55">
        <f t="shared" ca="1" si="10"/>
        <v>47462</v>
      </c>
      <c r="B73" s="39">
        <v>53</v>
      </c>
      <c r="C73" s="40">
        <f t="shared" ca="1" si="12"/>
        <v>6181.6868679670879</v>
      </c>
      <c r="D73" s="24">
        <f t="shared" ca="1" si="13"/>
        <v>5135.5552441572727</v>
      </c>
      <c r="E73" s="24">
        <f t="shared" ca="1" si="8"/>
        <v>821.68883906516362</v>
      </c>
      <c r="F73" s="24">
        <f t="shared" ca="1" si="14"/>
        <v>1781.8596371407762</v>
      </c>
      <c r="G73" s="132">
        <f t="shared" ca="1" si="9"/>
        <v>1711851.7480524241</v>
      </c>
      <c r="H73" s="41">
        <f t="shared" ca="1" si="11"/>
        <v>320.16215451265111</v>
      </c>
      <c r="I73" s="84">
        <f t="shared" si="6"/>
        <v>128</v>
      </c>
      <c r="J73" s="50"/>
      <c r="K73" s="24">
        <f t="shared" si="4"/>
        <v>0</v>
      </c>
      <c r="L73" s="62">
        <f t="shared" ca="1" si="0"/>
        <v>14241</v>
      </c>
      <c r="M73" s="3">
        <f>SUM($J$21:J73)</f>
        <v>0</v>
      </c>
      <c r="N73" s="3">
        <f>COUNT($B$21:B73)</f>
        <v>53</v>
      </c>
      <c r="O73" s="3">
        <f t="shared" si="7"/>
        <v>53</v>
      </c>
      <c r="P73" s="10"/>
    </row>
    <row r="74" spans="1:16" s="3" customFormat="1" x14ac:dyDescent="0.35">
      <c r="A74" s="55">
        <f t="shared" ca="1" si="10"/>
        <v>47493</v>
      </c>
      <c r="B74" s="39">
        <v>54</v>
      </c>
      <c r="C74" s="40">
        <f t="shared" ca="1" si="12"/>
        <v>6398.0459083459336</v>
      </c>
      <c r="D74" s="24">
        <f t="shared" ca="1" si="13"/>
        <v>5315.2996777027765</v>
      </c>
      <c r="E74" s="24">
        <f t="shared" ca="1" si="8"/>
        <v>850.44794843244426</v>
      </c>
      <c r="F74" s="24">
        <f t="shared" ca="1" si="14"/>
        <v>1844.2247244407033</v>
      </c>
      <c r="G74" s="132">
        <f t="shared" ca="1" si="9"/>
        <v>1771766.5592342587</v>
      </c>
      <c r="H74" s="41">
        <f t="shared" ca="1" si="11"/>
        <v>331.36782992059381</v>
      </c>
      <c r="I74" s="84">
        <f t="shared" si="6"/>
        <v>127</v>
      </c>
      <c r="J74" s="50"/>
      <c r="K74" s="24">
        <f t="shared" si="4"/>
        <v>0</v>
      </c>
      <c r="L74" s="62">
        <f t="shared" ca="1" si="0"/>
        <v>14740</v>
      </c>
      <c r="M74" s="3">
        <f>SUM($J$21:J74)</f>
        <v>0</v>
      </c>
      <c r="N74" s="3">
        <f>COUNT($B$21:B74)</f>
        <v>54</v>
      </c>
      <c r="O74" s="3">
        <f t="shared" si="7"/>
        <v>54</v>
      </c>
      <c r="P74" s="10"/>
    </row>
    <row r="75" spans="1:16" s="3" customFormat="1" x14ac:dyDescent="0.35">
      <c r="A75" s="55">
        <f t="shared" ca="1" si="10"/>
        <v>47524</v>
      </c>
      <c r="B75" s="39">
        <v>55</v>
      </c>
      <c r="C75" s="40">
        <f t="shared" ca="1" si="12"/>
        <v>6398.0459083459336</v>
      </c>
      <c r="D75" s="24">
        <f t="shared" ca="1" si="13"/>
        <v>5315.2996777027765</v>
      </c>
      <c r="E75" s="24">
        <f t="shared" ca="1" si="8"/>
        <v>850.44794843244426</v>
      </c>
      <c r="F75" s="24">
        <f t="shared" ca="1" si="14"/>
        <v>1844.2247244407033</v>
      </c>
      <c r="G75" s="132">
        <f t="shared" ca="1" si="9"/>
        <v>1771766.5592342587</v>
      </c>
      <c r="H75" s="41">
        <f t="shared" ca="1" si="11"/>
        <v>331.36782992059381</v>
      </c>
      <c r="I75" s="84">
        <f t="shared" si="6"/>
        <v>126</v>
      </c>
      <c r="J75" s="50"/>
      <c r="K75" s="24">
        <f t="shared" si="4"/>
        <v>0</v>
      </c>
      <c r="L75" s="62">
        <f t="shared" ca="1" si="0"/>
        <v>14740</v>
      </c>
      <c r="M75" s="3">
        <f>SUM($J$21:J75)</f>
        <v>0</v>
      </c>
      <c r="N75" s="3">
        <f>COUNT($B$21:B75)</f>
        <v>55</v>
      </c>
      <c r="O75" s="3">
        <f t="shared" si="7"/>
        <v>55</v>
      </c>
      <c r="P75" s="10"/>
    </row>
    <row r="76" spans="1:16" s="3" customFormat="1" x14ac:dyDescent="0.35">
      <c r="A76" s="55">
        <f t="shared" ca="1" si="10"/>
        <v>47552</v>
      </c>
      <c r="B76" s="39">
        <v>56</v>
      </c>
      <c r="C76" s="40">
        <f t="shared" ca="1" si="12"/>
        <v>6398.0459083459336</v>
      </c>
      <c r="D76" s="24">
        <f t="shared" ca="1" si="13"/>
        <v>5315.2996777027765</v>
      </c>
      <c r="E76" s="24">
        <f t="shared" ca="1" si="8"/>
        <v>850.44794843244426</v>
      </c>
      <c r="F76" s="24">
        <f t="shared" ca="1" si="14"/>
        <v>1844.2247244407033</v>
      </c>
      <c r="G76" s="132">
        <f t="shared" ca="1" si="9"/>
        <v>1771766.5592342587</v>
      </c>
      <c r="H76" s="41">
        <f t="shared" ca="1" si="11"/>
        <v>331.36782992059381</v>
      </c>
      <c r="I76" s="84">
        <f t="shared" si="6"/>
        <v>125</v>
      </c>
      <c r="J76" s="50"/>
      <c r="K76" s="24">
        <f t="shared" si="4"/>
        <v>0</v>
      </c>
      <c r="L76" s="62">
        <f t="shared" ca="1" si="0"/>
        <v>14740</v>
      </c>
      <c r="M76" s="3">
        <f>SUM($J$21:J76)</f>
        <v>0</v>
      </c>
      <c r="N76" s="3">
        <f>COUNT($B$21:B76)</f>
        <v>56</v>
      </c>
      <c r="O76" s="3">
        <f t="shared" si="7"/>
        <v>56</v>
      </c>
      <c r="P76" s="10"/>
    </row>
    <row r="77" spans="1:16" s="3" customFormat="1" x14ac:dyDescent="0.35">
      <c r="A77" s="55">
        <f t="shared" ca="1" si="10"/>
        <v>47583</v>
      </c>
      <c r="B77" s="39">
        <v>57</v>
      </c>
      <c r="C77" s="40">
        <f t="shared" ca="1" si="12"/>
        <v>6398.0459083459336</v>
      </c>
      <c r="D77" s="24">
        <f t="shared" ca="1" si="13"/>
        <v>5315.2996777027765</v>
      </c>
      <c r="E77" s="24">
        <f t="shared" ca="1" si="8"/>
        <v>850.44794843244426</v>
      </c>
      <c r="F77" s="24">
        <f t="shared" ca="1" si="14"/>
        <v>1844.2247244407033</v>
      </c>
      <c r="G77" s="132">
        <f t="shared" ca="1" si="9"/>
        <v>1771766.5592342587</v>
      </c>
      <c r="H77" s="41">
        <f t="shared" ca="1" si="11"/>
        <v>331.36782992059381</v>
      </c>
      <c r="I77" s="84">
        <f t="shared" si="6"/>
        <v>124</v>
      </c>
      <c r="J77" s="50"/>
      <c r="K77" s="24">
        <f t="shared" si="4"/>
        <v>0</v>
      </c>
      <c r="L77" s="62">
        <f t="shared" ca="1" si="0"/>
        <v>14740</v>
      </c>
      <c r="M77" s="3">
        <f>SUM($J$21:J77)</f>
        <v>0</v>
      </c>
      <c r="N77" s="3">
        <f>COUNT($B$21:B77)</f>
        <v>57</v>
      </c>
      <c r="O77" s="3">
        <f t="shared" si="7"/>
        <v>57</v>
      </c>
      <c r="P77" s="10"/>
    </row>
    <row r="78" spans="1:16" s="3" customFormat="1" x14ac:dyDescent="0.35">
      <c r="A78" s="55">
        <f t="shared" ca="1" si="10"/>
        <v>47613</v>
      </c>
      <c r="B78" s="39">
        <v>58</v>
      </c>
      <c r="C78" s="40">
        <f t="shared" ca="1" si="12"/>
        <v>6398.0459083459336</v>
      </c>
      <c r="D78" s="24">
        <f t="shared" ca="1" si="13"/>
        <v>5315.2996777027765</v>
      </c>
      <c r="E78" s="24">
        <f t="shared" ca="1" si="8"/>
        <v>850.44794843244426</v>
      </c>
      <c r="F78" s="24">
        <f t="shared" ca="1" si="14"/>
        <v>1844.2247244407033</v>
      </c>
      <c r="G78" s="132">
        <f t="shared" ca="1" si="9"/>
        <v>1771766.5592342587</v>
      </c>
      <c r="H78" s="41">
        <f t="shared" ca="1" si="11"/>
        <v>331.36782992059381</v>
      </c>
      <c r="I78" s="84">
        <f t="shared" si="6"/>
        <v>123</v>
      </c>
      <c r="J78" s="50"/>
      <c r="K78" s="24">
        <f t="shared" si="4"/>
        <v>0</v>
      </c>
      <c r="L78" s="62">
        <f t="shared" ca="1" si="0"/>
        <v>14740</v>
      </c>
      <c r="M78" s="3">
        <f>SUM($J$21:J78)</f>
        <v>0</v>
      </c>
      <c r="N78" s="3">
        <f>COUNT($B$21:B78)</f>
        <v>58</v>
      </c>
      <c r="O78" s="3">
        <f t="shared" si="7"/>
        <v>58</v>
      </c>
      <c r="P78" s="10"/>
    </row>
    <row r="79" spans="1:16" s="3" customFormat="1" x14ac:dyDescent="0.35">
      <c r="A79" s="55">
        <f t="shared" ca="1" si="10"/>
        <v>47644</v>
      </c>
      <c r="B79" s="39">
        <v>59</v>
      </c>
      <c r="C79" s="40">
        <f t="shared" ca="1" si="12"/>
        <v>6398.0459083459336</v>
      </c>
      <c r="D79" s="24">
        <f t="shared" ca="1" si="13"/>
        <v>5315.2996777027765</v>
      </c>
      <c r="E79" s="24">
        <f t="shared" ca="1" si="8"/>
        <v>850.44794843244426</v>
      </c>
      <c r="F79" s="24">
        <f t="shared" ca="1" si="14"/>
        <v>1844.2247244407033</v>
      </c>
      <c r="G79" s="132">
        <f t="shared" ca="1" si="9"/>
        <v>1771766.5592342587</v>
      </c>
      <c r="H79" s="41">
        <f t="shared" ca="1" si="11"/>
        <v>331.36782992059381</v>
      </c>
      <c r="I79" s="84">
        <f t="shared" si="6"/>
        <v>122</v>
      </c>
      <c r="J79" s="50"/>
      <c r="K79" s="24">
        <f t="shared" si="4"/>
        <v>0</v>
      </c>
      <c r="L79" s="62">
        <f t="shared" ca="1" si="0"/>
        <v>14740</v>
      </c>
      <c r="M79" s="3">
        <f>SUM($J$21:J79)</f>
        <v>0</v>
      </c>
      <c r="N79" s="3">
        <f>COUNT($B$21:B79)</f>
        <v>59</v>
      </c>
      <c r="O79" s="3">
        <f t="shared" si="7"/>
        <v>59</v>
      </c>
      <c r="P79" s="10"/>
    </row>
    <row r="80" spans="1:16" s="3" customFormat="1" x14ac:dyDescent="0.35">
      <c r="A80" s="55">
        <f t="shared" ca="1" si="10"/>
        <v>47674</v>
      </c>
      <c r="B80" s="39">
        <v>60</v>
      </c>
      <c r="C80" s="40">
        <f t="shared" ca="1" si="12"/>
        <v>6621.9775151380418</v>
      </c>
      <c r="D80" s="24">
        <f t="shared" ca="1" si="13"/>
        <v>5501.3351664223728</v>
      </c>
      <c r="E80" s="24">
        <f t="shared" ca="1" si="8"/>
        <v>880.21362662757963</v>
      </c>
      <c r="F80" s="24">
        <f t="shared" ca="1" si="14"/>
        <v>1908.7725897961279</v>
      </c>
      <c r="G80" s="132">
        <f t="shared" ca="1" si="9"/>
        <v>1833778.3888074576</v>
      </c>
      <c r="H80" s="41">
        <f t="shared" ca="1" si="11"/>
        <v>342.96570396781459</v>
      </c>
      <c r="I80" s="84">
        <f t="shared" si="6"/>
        <v>121</v>
      </c>
      <c r="J80" s="50"/>
      <c r="K80" s="24">
        <f t="shared" si="4"/>
        <v>0</v>
      </c>
      <c r="L80" s="62">
        <f t="shared" ca="1" si="0"/>
        <v>15256</v>
      </c>
      <c r="M80" s="3">
        <f>SUM($J$21:J80)</f>
        <v>0</v>
      </c>
      <c r="N80" s="3">
        <f>COUNT($B$21:B80)</f>
        <v>60</v>
      </c>
      <c r="O80" s="3">
        <f t="shared" si="7"/>
        <v>60</v>
      </c>
      <c r="P80" s="10"/>
    </row>
    <row r="81" spans="1:16" s="3" customFormat="1" x14ac:dyDescent="0.35">
      <c r="A81" s="55">
        <f t="shared" ca="1" si="10"/>
        <v>47705</v>
      </c>
      <c r="B81" s="39">
        <v>61</v>
      </c>
      <c r="C81" s="40">
        <f t="shared" ca="1" si="12"/>
        <v>6621.9775151380418</v>
      </c>
      <c r="D81" s="24">
        <f t="shared" ca="1" si="13"/>
        <v>5501.3351664223728</v>
      </c>
      <c r="E81" s="24">
        <f t="shared" ca="1" si="8"/>
        <v>880.21362662757963</v>
      </c>
      <c r="F81" s="24">
        <f t="shared" ca="1" si="14"/>
        <v>1908.7725897961279</v>
      </c>
      <c r="G81" s="132">
        <f t="shared" ca="1" si="9"/>
        <v>1833778.3888074576</v>
      </c>
      <c r="H81" s="41">
        <f t="shared" ca="1" si="11"/>
        <v>342.96570396781459</v>
      </c>
      <c r="I81" s="84">
        <f t="shared" si="6"/>
        <v>120</v>
      </c>
      <c r="J81" s="50"/>
      <c r="K81" s="24">
        <f t="shared" si="4"/>
        <v>0</v>
      </c>
      <c r="L81" s="62">
        <f t="shared" ca="1" si="0"/>
        <v>15256</v>
      </c>
      <c r="M81" s="3">
        <f>SUM($J$21:J81)</f>
        <v>0</v>
      </c>
      <c r="N81" s="3">
        <f>COUNT($B$21:B81)</f>
        <v>61</v>
      </c>
      <c r="O81" s="3">
        <f t="shared" si="7"/>
        <v>61</v>
      </c>
      <c r="P81" s="10"/>
    </row>
    <row r="82" spans="1:16" s="3" customFormat="1" x14ac:dyDescent="0.35">
      <c r="A82" s="55">
        <f t="shared" ca="1" si="10"/>
        <v>47736</v>
      </c>
      <c r="B82" s="39">
        <v>62</v>
      </c>
      <c r="C82" s="40">
        <f t="shared" ca="1" si="12"/>
        <v>6621.9775151380418</v>
      </c>
      <c r="D82" s="24">
        <f t="shared" ca="1" si="13"/>
        <v>5501.3351664223728</v>
      </c>
      <c r="E82" s="24">
        <f t="shared" ca="1" si="8"/>
        <v>880.21362662757963</v>
      </c>
      <c r="F82" s="24">
        <f t="shared" ca="1" si="14"/>
        <v>1908.7725897961279</v>
      </c>
      <c r="G82" s="132">
        <f t="shared" ca="1" si="9"/>
        <v>1833778.3888074576</v>
      </c>
      <c r="H82" s="41">
        <f t="shared" ca="1" si="11"/>
        <v>342.96570396781459</v>
      </c>
      <c r="I82" s="84">
        <f t="shared" si="6"/>
        <v>119</v>
      </c>
      <c r="J82" s="50"/>
      <c r="K82" s="24">
        <f t="shared" si="4"/>
        <v>0</v>
      </c>
      <c r="L82" s="62">
        <f t="shared" ca="1" si="0"/>
        <v>15256</v>
      </c>
      <c r="M82" s="3">
        <f>SUM($J$21:J82)</f>
        <v>0</v>
      </c>
      <c r="N82" s="3">
        <f>COUNT($B$21:B82)</f>
        <v>62</v>
      </c>
      <c r="O82" s="3">
        <f t="shared" si="7"/>
        <v>62</v>
      </c>
      <c r="P82" s="10"/>
    </row>
    <row r="83" spans="1:16" s="3" customFormat="1" x14ac:dyDescent="0.35">
      <c r="A83" s="55">
        <f t="shared" ca="1" si="10"/>
        <v>47766</v>
      </c>
      <c r="B83" s="39">
        <v>63</v>
      </c>
      <c r="C83" s="40">
        <f t="shared" ca="1" si="12"/>
        <v>6621.9775151380418</v>
      </c>
      <c r="D83" s="24">
        <f t="shared" ca="1" si="13"/>
        <v>5501.3351664223728</v>
      </c>
      <c r="E83" s="24">
        <f t="shared" ca="1" si="8"/>
        <v>880.21362662757963</v>
      </c>
      <c r="F83" s="24">
        <f t="shared" ca="1" si="14"/>
        <v>1908.7725897961279</v>
      </c>
      <c r="G83" s="132">
        <f t="shared" ca="1" si="9"/>
        <v>1833778.3888074576</v>
      </c>
      <c r="H83" s="41">
        <f t="shared" ca="1" si="11"/>
        <v>342.96570396781459</v>
      </c>
      <c r="I83" s="84">
        <f t="shared" si="6"/>
        <v>118</v>
      </c>
      <c r="J83" s="50"/>
      <c r="K83" s="24">
        <f t="shared" si="4"/>
        <v>0</v>
      </c>
      <c r="L83" s="62">
        <f t="shared" ca="1" si="0"/>
        <v>15256</v>
      </c>
      <c r="M83" s="3">
        <f>SUM($J$21:J83)</f>
        <v>0</v>
      </c>
      <c r="N83" s="3">
        <f>COUNT($B$21:B83)</f>
        <v>63</v>
      </c>
      <c r="O83" s="3">
        <f t="shared" si="7"/>
        <v>63</v>
      </c>
      <c r="P83" s="10"/>
    </row>
    <row r="84" spans="1:16" s="3" customFormat="1" x14ac:dyDescent="0.35">
      <c r="A84" s="55">
        <f t="shared" ca="1" si="10"/>
        <v>47797</v>
      </c>
      <c r="B84" s="39">
        <v>64</v>
      </c>
      <c r="C84" s="40">
        <f t="shared" ca="1" si="12"/>
        <v>6621.9775151380418</v>
      </c>
      <c r="D84" s="24">
        <f t="shared" ca="1" si="13"/>
        <v>5501.3351664223728</v>
      </c>
      <c r="E84" s="24">
        <f t="shared" ca="1" si="8"/>
        <v>880.21362662757963</v>
      </c>
      <c r="F84" s="24">
        <f t="shared" ca="1" si="14"/>
        <v>1908.7725897961279</v>
      </c>
      <c r="G84" s="132">
        <f t="shared" ca="1" si="9"/>
        <v>1833778.3888074576</v>
      </c>
      <c r="H84" s="41">
        <f t="shared" ca="1" si="11"/>
        <v>342.96570396781459</v>
      </c>
      <c r="I84" s="84">
        <f t="shared" si="6"/>
        <v>117</v>
      </c>
      <c r="J84" s="50"/>
      <c r="K84" s="24">
        <f t="shared" si="4"/>
        <v>0</v>
      </c>
      <c r="L84" s="62">
        <f t="shared" ca="1" si="0"/>
        <v>15256</v>
      </c>
      <c r="M84" s="3">
        <f>SUM($J$21:J84)</f>
        <v>0</v>
      </c>
      <c r="N84" s="3">
        <f>COUNT($B$21:B84)</f>
        <v>64</v>
      </c>
      <c r="O84" s="3">
        <f t="shared" si="7"/>
        <v>64</v>
      </c>
      <c r="P84" s="10"/>
    </row>
    <row r="85" spans="1:16" s="3" customFormat="1" x14ac:dyDescent="0.35">
      <c r="A85" s="55">
        <f t="shared" ca="1" si="10"/>
        <v>47827</v>
      </c>
      <c r="B85" s="39">
        <v>65</v>
      </c>
      <c r="C85" s="40">
        <f t="shared" ca="1" si="12"/>
        <v>6621.9775151380418</v>
      </c>
      <c r="D85" s="24">
        <f t="shared" ca="1" si="13"/>
        <v>5501.3351664223728</v>
      </c>
      <c r="E85" s="24">
        <f t="shared" ca="1" si="8"/>
        <v>880.21362662757963</v>
      </c>
      <c r="F85" s="24">
        <f t="shared" ca="1" si="14"/>
        <v>1908.7725897961279</v>
      </c>
      <c r="G85" s="132">
        <f t="shared" ca="1" si="9"/>
        <v>1833778.3888074576</v>
      </c>
      <c r="H85" s="41">
        <f t="shared" ca="1" si="11"/>
        <v>342.96570396781459</v>
      </c>
      <c r="I85" s="84">
        <f t="shared" si="6"/>
        <v>116</v>
      </c>
      <c r="J85" s="50"/>
      <c r="K85" s="24">
        <f t="shared" si="4"/>
        <v>0</v>
      </c>
      <c r="L85" s="62">
        <f t="shared" ca="1" si="0"/>
        <v>15256</v>
      </c>
      <c r="M85" s="3">
        <f>SUM($J$21:J85)</f>
        <v>0</v>
      </c>
      <c r="N85" s="3">
        <f>COUNT($B$21:B85)</f>
        <v>65</v>
      </c>
      <c r="O85" s="3">
        <f t="shared" si="7"/>
        <v>65</v>
      </c>
      <c r="P85" s="10"/>
    </row>
    <row r="86" spans="1:16" s="3" customFormat="1" x14ac:dyDescent="0.35">
      <c r="A86" s="55">
        <f t="shared" ca="1" si="10"/>
        <v>47858</v>
      </c>
      <c r="B86" s="39">
        <v>66</v>
      </c>
      <c r="C86" s="40">
        <f t="shared" ref="C86:C117" ca="1" si="15">IF(O85&gt;179,0,(G86*$L$2)/$D$9)</f>
        <v>6853.7467281678719</v>
      </c>
      <c r="D86" s="24">
        <f t="shared" ref="D86:D117" ca="1" si="16">IF(O85&gt;179,0,(G86*$D$3))</f>
        <v>5693.8818972471554</v>
      </c>
      <c r="E86" s="24">
        <f t="shared" ca="1" si="8"/>
        <v>911.02110355954483</v>
      </c>
      <c r="F86" s="24">
        <f t="shared" ref="F86:F117" ca="1" si="17">IF(O85&gt;179,0,((G86/$D$9)+D86+E86)*($D$9)*(0.064%))</f>
        <v>1975.5796304389919</v>
      </c>
      <c r="G86" s="132">
        <f t="shared" ca="1" si="9"/>
        <v>1897960.6324157184</v>
      </c>
      <c r="H86" s="41">
        <f t="shared" ca="1" si="11"/>
        <v>354.96950360668802</v>
      </c>
      <c r="I86" s="84">
        <f t="shared" si="6"/>
        <v>115</v>
      </c>
      <c r="J86" s="50"/>
      <c r="K86" s="24">
        <f t="shared" ref="K86:K149" si="18">IF(J86=0,0,+C86+((D86*0.75)*1.16))*J86</f>
        <v>0</v>
      </c>
      <c r="L86" s="62">
        <f t="shared" ref="L86:L149" ca="1" si="19">ROUNDUP(C86+D86+E86+F86+H86+K86,0)</f>
        <v>15790</v>
      </c>
      <c r="M86" s="3">
        <f>SUM($J$21:J86)</f>
        <v>0</v>
      </c>
      <c r="N86" s="3">
        <f>COUNT($B$21:B86)</f>
        <v>66</v>
      </c>
      <c r="O86" s="3">
        <f t="shared" si="7"/>
        <v>66</v>
      </c>
      <c r="P86" s="10"/>
    </row>
    <row r="87" spans="1:16" s="3" customFormat="1" x14ac:dyDescent="0.35">
      <c r="A87" s="55">
        <f t="shared" ca="1" si="10"/>
        <v>47889</v>
      </c>
      <c r="B87" s="39">
        <v>67</v>
      </c>
      <c r="C87" s="40">
        <f t="shared" ca="1" si="15"/>
        <v>6853.7467281678719</v>
      </c>
      <c r="D87" s="24">
        <f t="shared" ca="1" si="16"/>
        <v>5693.8818972471554</v>
      </c>
      <c r="E87" s="24">
        <f t="shared" ca="1" si="8"/>
        <v>911.02110355954483</v>
      </c>
      <c r="F87" s="24">
        <f t="shared" ca="1" si="17"/>
        <v>1975.5796304389919</v>
      </c>
      <c r="G87" s="132">
        <f t="shared" ref="G87:G150" ca="1" si="20">IF(O86&gt;179,0,IF(MONTH(A87)=7,G86*1.035,(IF(MONTH(A87)=1,G86*1.035,G86))))</f>
        <v>1897960.6324157184</v>
      </c>
      <c r="H87" s="41">
        <f t="shared" ca="1" si="11"/>
        <v>354.96950360668802</v>
      </c>
      <c r="I87" s="84">
        <f t="shared" ref="I87:I150" si="21">IF(O87&gt;179,0,(180-N87+1)-(SUM($J$21:$J$200)))</f>
        <v>114</v>
      </c>
      <c r="J87" s="50"/>
      <c r="K87" s="24">
        <f t="shared" si="18"/>
        <v>0</v>
      </c>
      <c r="L87" s="62">
        <f t="shared" ca="1" si="19"/>
        <v>15790</v>
      </c>
      <c r="M87" s="3">
        <f>SUM($J$21:J87)</f>
        <v>0</v>
      </c>
      <c r="N87" s="3">
        <f>COUNT($B$21:B87)</f>
        <v>67</v>
      </c>
      <c r="O87" s="3">
        <f t="shared" ref="O87:O150" si="22">+M87+N87</f>
        <v>67</v>
      </c>
      <c r="P87" s="10"/>
    </row>
    <row r="88" spans="1:16" s="3" customFormat="1" x14ac:dyDescent="0.35">
      <c r="A88" s="55">
        <f t="shared" ca="1" si="10"/>
        <v>47917</v>
      </c>
      <c r="B88" s="39">
        <v>68</v>
      </c>
      <c r="C88" s="40">
        <f t="shared" ca="1" si="15"/>
        <v>6853.7467281678719</v>
      </c>
      <c r="D88" s="24">
        <f t="shared" ca="1" si="16"/>
        <v>5693.8818972471554</v>
      </c>
      <c r="E88" s="24">
        <f t="shared" ref="E88:E151" ca="1" si="23">D88*16%</f>
        <v>911.02110355954483</v>
      </c>
      <c r="F88" s="24">
        <f t="shared" ca="1" si="17"/>
        <v>1975.5796304389919</v>
      </c>
      <c r="G88" s="132">
        <f t="shared" ca="1" si="20"/>
        <v>1897960.6324157184</v>
      </c>
      <c r="H88" s="41">
        <f t="shared" ca="1" si="11"/>
        <v>354.96950360668802</v>
      </c>
      <c r="I88" s="84">
        <f t="shared" si="21"/>
        <v>113</v>
      </c>
      <c r="J88" s="50"/>
      <c r="K88" s="24">
        <f t="shared" si="18"/>
        <v>0</v>
      </c>
      <c r="L88" s="62">
        <f t="shared" ca="1" si="19"/>
        <v>15790</v>
      </c>
      <c r="M88" s="3">
        <f>SUM($J$21:J88)</f>
        <v>0</v>
      </c>
      <c r="N88" s="3">
        <f>COUNT($B$21:B88)</f>
        <v>68</v>
      </c>
      <c r="O88" s="3">
        <f t="shared" si="22"/>
        <v>68</v>
      </c>
      <c r="P88" s="10"/>
    </row>
    <row r="89" spans="1:16" s="3" customFormat="1" x14ac:dyDescent="0.35">
      <c r="A89" s="55">
        <f t="shared" ref="A89:A152" ca="1" si="24">EDATE(A88,1)</f>
        <v>47948</v>
      </c>
      <c r="B89" s="39">
        <v>69</v>
      </c>
      <c r="C89" s="40">
        <f t="shared" ca="1" si="15"/>
        <v>6853.7467281678719</v>
      </c>
      <c r="D89" s="24">
        <f t="shared" ca="1" si="16"/>
        <v>5693.8818972471554</v>
      </c>
      <c r="E89" s="24">
        <f t="shared" ca="1" si="23"/>
        <v>911.02110355954483</v>
      </c>
      <c r="F89" s="24">
        <f t="shared" ca="1" si="17"/>
        <v>1975.5796304389919</v>
      </c>
      <c r="G89" s="132">
        <f t="shared" ca="1" si="20"/>
        <v>1897960.6324157184</v>
      </c>
      <c r="H89" s="41">
        <f t="shared" ref="H89:H152" ca="1" si="25">(G89*0.00016123)*1.16</f>
        <v>354.96950360668802</v>
      </c>
      <c r="I89" s="84">
        <f t="shared" si="21"/>
        <v>112</v>
      </c>
      <c r="J89" s="50"/>
      <c r="K89" s="24">
        <f t="shared" si="18"/>
        <v>0</v>
      </c>
      <c r="L89" s="62">
        <f t="shared" ca="1" si="19"/>
        <v>15790</v>
      </c>
      <c r="M89" s="3">
        <f>SUM($J$21:J89)</f>
        <v>0</v>
      </c>
      <c r="N89" s="3">
        <f>COUNT($B$21:B89)</f>
        <v>69</v>
      </c>
      <c r="O89" s="3">
        <f t="shared" si="22"/>
        <v>69</v>
      </c>
      <c r="P89" s="10"/>
    </row>
    <row r="90" spans="1:16" s="3" customFormat="1" x14ac:dyDescent="0.35">
      <c r="A90" s="55">
        <f t="shared" ca="1" si="24"/>
        <v>47978</v>
      </c>
      <c r="B90" s="39">
        <v>70</v>
      </c>
      <c r="C90" s="40">
        <f t="shared" ca="1" si="15"/>
        <v>6853.7467281678719</v>
      </c>
      <c r="D90" s="24">
        <f t="shared" ca="1" si="16"/>
        <v>5693.8818972471554</v>
      </c>
      <c r="E90" s="24">
        <f t="shared" ca="1" si="23"/>
        <v>911.02110355954483</v>
      </c>
      <c r="F90" s="24">
        <f t="shared" ca="1" si="17"/>
        <v>1975.5796304389919</v>
      </c>
      <c r="G90" s="132">
        <f t="shared" ca="1" si="20"/>
        <v>1897960.6324157184</v>
      </c>
      <c r="H90" s="41">
        <f t="shared" ca="1" si="25"/>
        <v>354.96950360668802</v>
      </c>
      <c r="I90" s="84">
        <f t="shared" si="21"/>
        <v>111</v>
      </c>
      <c r="J90" s="50"/>
      <c r="K90" s="24">
        <f t="shared" si="18"/>
        <v>0</v>
      </c>
      <c r="L90" s="62">
        <f t="shared" ca="1" si="19"/>
        <v>15790</v>
      </c>
      <c r="M90" s="3">
        <f>SUM($J$21:J90)</f>
        <v>0</v>
      </c>
      <c r="N90" s="3">
        <f>COUNT($B$21:B90)</f>
        <v>70</v>
      </c>
      <c r="O90" s="3">
        <f t="shared" si="22"/>
        <v>70</v>
      </c>
      <c r="P90" s="10"/>
    </row>
    <row r="91" spans="1:16" s="3" customFormat="1" x14ac:dyDescent="0.35">
      <c r="A91" s="55">
        <f t="shared" ca="1" si="24"/>
        <v>48009</v>
      </c>
      <c r="B91" s="39">
        <v>71</v>
      </c>
      <c r="C91" s="40">
        <f t="shared" ca="1" si="15"/>
        <v>6853.7467281678719</v>
      </c>
      <c r="D91" s="24">
        <f t="shared" ca="1" si="16"/>
        <v>5693.8818972471554</v>
      </c>
      <c r="E91" s="24">
        <f t="shared" ca="1" si="23"/>
        <v>911.02110355954483</v>
      </c>
      <c r="F91" s="24">
        <f t="shared" ca="1" si="17"/>
        <v>1975.5796304389919</v>
      </c>
      <c r="G91" s="132">
        <f t="shared" ca="1" si="20"/>
        <v>1897960.6324157184</v>
      </c>
      <c r="H91" s="41">
        <f t="shared" ca="1" si="25"/>
        <v>354.96950360668802</v>
      </c>
      <c r="I91" s="84">
        <f t="shared" si="21"/>
        <v>110</v>
      </c>
      <c r="J91" s="50"/>
      <c r="K91" s="24">
        <f t="shared" si="18"/>
        <v>0</v>
      </c>
      <c r="L91" s="62">
        <f t="shared" ca="1" si="19"/>
        <v>15790</v>
      </c>
      <c r="M91" s="3">
        <f>SUM($J$21:J91)</f>
        <v>0</v>
      </c>
      <c r="N91" s="3">
        <f>COUNT($B$21:B91)</f>
        <v>71</v>
      </c>
      <c r="O91" s="3">
        <f t="shared" si="22"/>
        <v>71</v>
      </c>
      <c r="P91" s="10"/>
    </row>
    <row r="92" spans="1:16" s="3" customFormat="1" x14ac:dyDescent="0.35">
      <c r="A92" s="55">
        <f t="shared" ca="1" si="24"/>
        <v>48039</v>
      </c>
      <c r="B92" s="39">
        <v>72</v>
      </c>
      <c r="C92" s="40">
        <f t="shared" ca="1" si="15"/>
        <v>7093.6278636537463</v>
      </c>
      <c r="D92" s="24">
        <f t="shared" ca="1" si="16"/>
        <v>5893.1677636508057</v>
      </c>
      <c r="E92" s="24">
        <f t="shared" ca="1" si="23"/>
        <v>942.90684218412889</v>
      </c>
      <c r="F92" s="24">
        <f t="shared" ca="1" si="17"/>
        <v>2044.7249175043564</v>
      </c>
      <c r="G92" s="132">
        <f t="shared" ca="1" si="20"/>
        <v>1964389.2545502684</v>
      </c>
      <c r="H92" s="41">
        <f t="shared" ca="1" si="25"/>
        <v>367.39343623292211</v>
      </c>
      <c r="I92" s="84">
        <f t="shared" si="21"/>
        <v>109</v>
      </c>
      <c r="J92" s="50"/>
      <c r="K92" s="24">
        <f t="shared" si="18"/>
        <v>0</v>
      </c>
      <c r="L92" s="62">
        <f t="shared" ca="1" si="19"/>
        <v>16342</v>
      </c>
      <c r="M92" s="3">
        <f>SUM($J$21:J92)</f>
        <v>0</v>
      </c>
      <c r="N92" s="3">
        <f>COUNT($B$21:B92)</f>
        <v>72</v>
      </c>
      <c r="O92" s="3">
        <f t="shared" si="22"/>
        <v>72</v>
      </c>
      <c r="P92" s="10"/>
    </row>
    <row r="93" spans="1:16" s="3" customFormat="1" x14ac:dyDescent="0.35">
      <c r="A93" s="55">
        <f t="shared" ca="1" si="24"/>
        <v>48070</v>
      </c>
      <c r="B93" s="39">
        <v>73</v>
      </c>
      <c r="C93" s="40">
        <f t="shared" ca="1" si="15"/>
        <v>7093.6278636537463</v>
      </c>
      <c r="D93" s="24">
        <f t="shared" ca="1" si="16"/>
        <v>5893.1677636508057</v>
      </c>
      <c r="E93" s="24">
        <f t="shared" ca="1" si="23"/>
        <v>942.90684218412889</v>
      </c>
      <c r="F93" s="24">
        <f t="shared" ca="1" si="17"/>
        <v>2044.7249175043564</v>
      </c>
      <c r="G93" s="132">
        <f t="shared" ca="1" si="20"/>
        <v>1964389.2545502684</v>
      </c>
      <c r="H93" s="41">
        <f t="shared" ca="1" si="25"/>
        <v>367.39343623292211</v>
      </c>
      <c r="I93" s="84">
        <f t="shared" si="21"/>
        <v>108</v>
      </c>
      <c r="J93" s="50"/>
      <c r="K93" s="24">
        <f t="shared" si="18"/>
        <v>0</v>
      </c>
      <c r="L93" s="62">
        <f t="shared" ca="1" si="19"/>
        <v>16342</v>
      </c>
      <c r="M93" s="3">
        <f>SUM($J$21:J93)</f>
        <v>0</v>
      </c>
      <c r="N93" s="3">
        <f>COUNT($B$21:B93)</f>
        <v>73</v>
      </c>
      <c r="O93" s="3">
        <f t="shared" si="22"/>
        <v>73</v>
      </c>
      <c r="P93" s="10"/>
    </row>
    <row r="94" spans="1:16" s="3" customFormat="1" x14ac:dyDescent="0.35">
      <c r="A94" s="55">
        <f t="shared" ca="1" si="24"/>
        <v>48101</v>
      </c>
      <c r="B94" s="39">
        <v>74</v>
      </c>
      <c r="C94" s="40">
        <f t="shared" ca="1" si="15"/>
        <v>7093.6278636537463</v>
      </c>
      <c r="D94" s="24">
        <f t="shared" ca="1" si="16"/>
        <v>5893.1677636508057</v>
      </c>
      <c r="E94" s="24">
        <f t="shared" ca="1" si="23"/>
        <v>942.90684218412889</v>
      </c>
      <c r="F94" s="24">
        <f t="shared" ca="1" si="17"/>
        <v>2044.7249175043564</v>
      </c>
      <c r="G94" s="132">
        <f t="shared" ca="1" si="20"/>
        <v>1964389.2545502684</v>
      </c>
      <c r="H94" s="41">
        <f t="shared" ca="1" si="25"/>
        <v>367.39343623292211</v>
      </c>
      <c r="I94" s="84">
        <f t="shared" si="21"/>
        <v>107</v>
      </c>
      <c r="J94" s="50"/>
      <c r="K94" s="24">
        <f t="shared" si="18"/>
        <v>0</v>
      </c>
      <c r="L94" s="62">
        <f t="shared" ca="1" si="19"/>
        <v>16342</v>
      </c>
      <c r="M94" s="3">
        <f>SUM($J$21:J94)</f>
        <v>0</v>
      </c>
      <c r="N94" s="3">
        <f>COUNT($B$21:B94)</f>
        <v>74</v>
      </c>
      <c r="O94" s="3">
        <f t="shared" si="22"/>
        <v>74</v>
      </c>
      <c r="P94" s="10"/>
    </row>
    <row r="95" spans="1:16" s="3" customFormat="1" x14ac:dyDescent="0.35">
      <c r="A95" s="55">
        <f t="shared" ca="1" si="24"/>
        <v>48131</v>
      </c>
      <c r="B95" s="39">
        <v>75</v>
      </c>
      <c r="C95" s="40">
        <f t="shared" ca="1" si="15"/>
        <v>7093.6278636537463</v>
      </c>
      <c r="D95" s="24">
        <f t="shared" ca="1" si="16"/>
        <v>5893.1677636508057</v>
      </c>
      <c r="E95" s="24">
        <f t="shared" ca="1" si="23"/>
        <v>942.90684218412889</v>
      </c>
      <c r="F95" s="24">
        <f t="shared" ca="1" si="17"/>
        <v>2044.7249175043564</v>
      </c>
      <c r="G95" s="132">
        <f t="shared" ca="1" si="20"/>
        <v>1964389.2545502684</v>
      </c>
      <c r="H95" s="41">
        <f t="shared" ca="1" si="25"/>
        <v>367.39343623292211</v>
      </c>
      <c r="I95" s="84">
        <f t="shared" si="21"/>
        <v>106</v>
      </c>
      <c r="J95" s="50"/>
      <c r="K95" s="24">
        <f t="shared" si="18"/>
        <v>0</v>
      </c>
      <c r="L95" s="62">
        <f t="shared" ca="1" si="19"/>
        <v>16342</v>
      </c>
      <c r="M95" s="3">
        <f>SUM($J$21:J95)</f>
        <v>0</v>
      </c>
      <c r="N95" s="3">
        <f>COUNT($B$21:B95)</f>
        <v>75</v>
      </c>
      <c r="O95" s="3">
        <f t="shared" si="22"/>
        <v>75</v>
      </c>
      <c r="P95" s="10"/>
    </row>
    <row r="96" spans="1:16" s="3" customFormat="1" x14ac:dyDescent="0.35">
      <c r="A96" s="55">
        <f t="shared" ca="1" si="24"/>
        <v>48162</v>
      </c>
      <c r="B96" s="39">
        <v>76</v>
      </c>
      <c r="C96" s="40">
        <f t="shared" ca="1" si="15"/>
        <v>7093.6278636537463</v>
      </c>
      <c r="D96" s="24">
        <f t="shared" ca="1" si="16"/>
        <v>5893.1677636508057</v>
      </c>
      <c r="E96" s="24">
        <f t="shared" ca="1" si="23"/>
        <v>942.90684218412889</v>
      </c>
      <c r="F96" s="24">
        <f t="shared" ca="1" si="17"/>
        <v>2044.7249175043564</v>
      </c>
      <c r="G96" s="132">
        <f t="shared" ca="1" si="20"/>
        <v>1964389.2545502684</v>
      </c>
      <c r="H96" s="41">
        <f t="shared" ca="1" si="25"/>
        <v>367.39343623292211</v>
      </c>
      <c r="I96" s="84">
        <f t="shared" si="21"/>
        <v>105</v>
      </c>
      <c r="J96" s="50"/>
      <c r="K96" s="24">
        <f t="shared" si="18"/>
        <v>0</v>
      </c>
      <c r="L96" s="62">
        <f t="shared" ca="1" si="19"/>
        <v>16342</v>
      </c>
      <c r="M96" s="3">
        <f>SUM($J$21:J96)</f>
        <v>0</v>
      </c>
      <c r="N96" s="3">
        <f>COUNT($B$21:B96)</f>
        <v>76</v>
      </c>
      <c r="O96" s="3">
        <f t="shared" si="22"/>
        <v>76</v>
      </c>
      <c r="P96" s="10"/>
    </row>
    <row r="97" spans="1:17" s="3" customFormat="1" x14ac:dyDescent="0.35">
      <c r="A97" s="55">
        <f t="shared" ca="1" si="24"/>
        <v>48192</v>
      </c>
      <c r="B97" s="39">
        <v>77</v>
      </c>
      <c r="C97" s="40">
        <f t="shared" ca="1" si="15"/>
        <v>7093.6278636537463</v>
      </c>
      <c r="D97" s="24">
        <f t="shared" ca="1" si="16"/>
        <v>5893.1677636508057</v>
      </c>
      <c r="E97" s="24">
        <f t="shared" ca="1" si="23"/>
        <v>942.90684218412889</v>
      </c>
      <c r="F97" s="24">
        <f t="shared" ca="1" si="17"/>
        <v>2044.7249175043564</v>
      </c>
      <c r="G97" s="132">
        <f t="shared" ca="1" si="20"/>
        <v>1964389.2545502684</v>
      </c>
      <c r="H97" s="41">
        <f t="shared" ca="1" si="25"/>
        <v>367.39343623292211</v>
      </c>
      <c r="I97" s="84">
        <f t="shared" si="21"/>
        <v>104</v>
      </c>
      <c r="J97" s="50"/>
      <c r="K97" s="24">
        <f t="shared" si="18"/>
        <v>0</v>
      </c>
      <c r="L97" s="62">
        <f t="shared" ca="1" si="19"/>
        <v>16342</v>
      </c>
      <c r="M97" s="3">
        <f>SUM($J$21:J97)</f>
        <v>0</v>
      </c>
      <c r="N97" s="3">
        <f>COUNT($B$21:B97)</f>
        <v>77</v>
      </c>
      <c r="O97" s="3">
        <f t="shared" si="22"/>
        <v>77</v>
      </c>
      <c r="P97" s="10"/>
    </row>
    <row r="98" spans="1:17" s="3" customFormat="1" x14ac:dyDescent="0.35">
      <c r="A98" s="55">
        <f t="shared" ca="1" si="24"/>
        <v>48223</v>
      </c>
      <c r="B98" s="39">
        <v>78</v>
      </c>
      <c r="C98" s="40">
        <f t="shared" ca="1" si="15"/>
        <v>7341.9048388816273</v>
      </c>
      <c r="D98" s="24">
        <f t="shared" ca="1" si="16"/>
        <v>6099.4286353785828</v>
      </c>
      <c r="E98" s="24">
        <f t="shared" ca="1" si="23"/>
        <v>975.9085816605733</v>
      </c>
      <c r="F98" s="24">
        <f t="shared" ca="1" si="17"/>
        <v>2116.2902896170085</v>
      </c>
      <c r="G98" s="132">
        <f t="shared" ca="1" si="20"/>
        <v>2033142.8784595276</v>
      </c>
      <c r="H98" s="41">
        <f t="shared" ca="1" si="25"/>
        <v>380.25220650107434</v>
      </c>
      <c r="I98" s="84">
        <f t="shared" si="21"/>
        <v>103</v>
      </c>
      <c r="J98" s="50"/>
      <c r="K98" s="24">
        <f t="shared" si="18"/>
        <v>0</v>
      </c>
      <c r="L98" s="62">
        <f t="shared" ca="1" si="19"/>
        <v>16914</v>
      </c>
      <c r="M98" s="3">
        <f>SUM($J$21:J98)</f>
        <v>0</v>
      </c>
      <c r="N98" s="3">
        <f>COUNT($B$21:B98)</f>
        <v>78</v>
      </c>
      <c r="O98" s="3">
        <f t="shared" si="22"/>
        <v>78</v>
      </c>
      <c r="P98" s="10"/>
    </row>
    <row r="99" spans="1:17" s="3" customFormat="1" x14ac:dyDescent="0.35">
      <c r="A99" s="55">
        <f t="shared" ca="1" si="24"/>
        <v>48254</v>
      </c>
      <c r="B99" s="39">
        <v>79</v>
      </c>
      <c r="C99" s="40">
        <f t="shared" ca="1" si="15"/>
        <v>7341.9048388816273</v>
      </c>
      <c r="D99" s="24">
        <f t="shared" ca="1" si="16"/>
        <v>6099.4286353785828</v>
      </c>
      <c r="E99" s="24">
        <f t="shared" ca="1" si="23"/>
        <v>975.9085816605733</v>
      </c>
      <c r="F99" s="24">
        <f t="shared" ca="1" si="17"/>
        <v>2116.2902896170085</v>
      </c>
      <c r="G99" s="132">
        <f t="shared" ca="1" si="20"/>
        <v>2033142.8784595276</v>
      </c>
      <c r="H99" s="41">
        <f t="shared" ca="1" si="25"/>
        <v>380.25220650107434</v>
      </c>
      <c r="I99" s="84">
        <f t="shared" si="21"/>
        <v>102</v>
      </c>
      <c r="J99" s="50"/>
      <c r="K99" s="24">
        <f t="shared" si="18"/>
        <v>0</v>
      </c>
      <c r="L99" s="62">
        <f t="shared" ca="1" si="19"/>
        <v>16914</v>
      </c>
      <c r="M99" s="3">
        <f>SUM($J$21:J99)</f>
        <v>0</v>
      </c>
      <c r="N99" s="3">
        <f>COUNT($B$21:B99)</f>
        <v>79</v>
      </c>
      <c r="O99" s="3">
        <f t="shared" si="22"/>
        <v>79</v>
      </c>
      <c r="P99" s="10"/>
    </row>
    <row r="100" spans="1:17" s="3" customFormat="1" x14ac:dyDescent="0.35">
      <c r="A100" s="55">
        <f t="shared" ca="1" si="24"/>
        <v>48283</v>
      </c>
      <c r="B100" s="39">
        <v>80</v>
      </c>
      <c r="C100" s="40">
        <f t="shared" ca="1" si="15"/>
        <v>7341.9048388816273</v>
      </c>
      <c r="D100" s="24">
        <f t="shared" ca="1" si="16"/>
        <v>6099.4286353785828</v>
      </c>
      <c r="E100" s="24">
        <f t="shared" ca="1" si="23"/>
        <v>975.9085816605733</v>
      </c>
      <c r="F100" s="24">
        <f t="shared" ca="1" si="17"/>
        <v>2116.2902896170085</v>
      </c>
      <c r="G100" s="132">
        <f t="shared" ca="1" si="20"/>
        <v>2033142.8784595276</v>
      </c>
      <c r="H100" s="41">
        <f t="shared" ca="1" si="25"/>
        <v>380.25220650107434</v>
      </c>
      <c r="I100" s="84">
        <f t="shared" si="21"/>
        <v>101</v>
      </c>
      <c r="J100" s="50"/>
      <c r="K100" s="24">
        <f t="shared" si="18"/>
        <v>0</v>
      </c>
      <c r="L100" s="62">
        <f t="shared" ca="1" si="19"/>
        <v>16914</v>
      </c>
      <c r="M100" s="3">
        <f>SUM($J$21:J100)</f>
        <v>0</v>
      </c>
      <c r="N100" s="3">
        <f>COUNT($B$21:B100)</f>
        <v>80</v>
      </c>
      <c r="O100" s="3">
        <f t="shared" si="22"/>
        <v>80</v>
      </c>
      <c r="P100" s="10"/>
    </row>
    <row r="101" spans="1:17" s="3" customFormat="1" x14ac:dyDescent="0.35">
      <c r="A101" s="55">
        <f t="shared" ca="1" si="24"/>
        <v>48314</v>
      </c>
      <c r="B101" s="39">
        <v>81</v>
      </c>
      <c r="C101" s="40">
        <f t="shared" ca="1" si="15"/>
        <v>7341.9048388816273</v>
      </c>
      <c r="D101" s="24">
        <f t="shared" ca="1" si="16"/>
        <v>6099.4286353785828</v>
      </c>
      <c r="E101" s="24">
        <f t="shared" ca="1" si="23"/>
        <v>975.9085816605733</v>
      </c>
      <c r="F101" s="24">
        <f t="shared" ca="1" si="17"/>
        <v>2116.2902896170085</v>
      </c>
      <c r="G101" s="132">
        <f t="shared" ca="1" si="20"/>
        <v>2033142.8784595276</v>
      </c>
      <c r="H101" s="41">
        <f t="shared" ca="1" si="25"/>
        <v>380.25220650107434</v>
      </c>
      <c r="I101" s="84">
        <f t="shared" si="21"/>
        <v>100</v>
      </c>
      <c r="J101" s="50"/>
      <c r="K101" s="24">
        <f t="shared" si="18"/>
        <v>0</v>
      </c>
      <c r="L101" s="62">
        <f t="shared" ca="1" si="19"/>
        <v>16914</v>
      </c>
      <c r="M101" s="3">
        <f>SUM($J$21:J101)</f>
        <v>0</v>
      </c>
      <c r="N101" s="3">
        <f>COUNT($B$21:B101)</f>
        <v>81</v>
      </c>
      <c r="O101" s="3">
        <f t="shared" si="22"/>
        <v>81</v>
      </c>
      <c r="P101" s="10"/>
    </row>
    <row r="102" spans="1:17" s="3" customFormat="1" x14ac:dyDescent="0.35">
      <c r="A102" s="55">
        <f t="shared" ca="1" si="24"/>
        <v>48344</v>
      </c>
      <c r="B102" s="39">
        <v>82</v>
      </c>
      <c r="C102" s="40">
        <f t="shared" ca="1" si="15"/>
        <v>7341.9048388816273</v>
      </c>
      <c r="D102" s="24">
        <f t="shared" ca="1" si="16"/>
        <v>6099.4286353785828</v>
      </c>
      <c r="E102" s="24">
        <f t="shared" ca="1" si="23"/>
        <v>975.9085816605733</v>
      </c>
      <c r="F102" s="24">
        <f t="shared" ca="1" si="17"/>
        <v>2116.2902896170085</v>
      </c>
      <c r="G102" s="132">
        <f t="shared" ca="1" si="20"/>
        <v>2033142.8784595276</v>
      </c>
      <c r="H102" s="41">
        <f t="shared" ca="1" si="25"/>
        <v>380.25220650107434</v>
      </c>
      <c r="I102" s="84">
        <f t="shared" si="21"/>
        <v>99</v>
      </c>
      <c r="J102" s="50"/>
      <c r="K102" s="24">
        <f t="shared" si="18"/>
        <v>0</v>
      </c>
      <c r="L102" s="62">
        <f t="shared" ca="1" si="19"/>
        <v>16914</v>
      </c>
      <c r="M102" s="3">
        <f>SUM($J$21:J102)</f>
        <v>0</v>
      </c>
      <c r="N102" s="3">
        <f>COUNT($B$21:B102)</f>
        <v>82</v>
      </c>
      <c r="O102" s="3">
        <f t="shared" si="22"/>
        <v>82</v>
      </c>
      <c r="P102" s="10"/>
    </row>
    <row r="103" spans="1:17" s="3" customFormat="1" x14ac:dyDescent="0.35">
      <c r="A103" s="55">
        <f t="shared" ca="1" si="24"/>
        <v>48375</v>
      </c>
      <c r="B103" s="39">
        <v>83</v>
      </c>
      <c r="C103" s="40">
        <f t="shared" ca="1" si="15"/>
        <v>7341.9048388816273</v>
      </c>
      <c r="D103" s="24">
        <f t="shared" ca="1" si="16"/>
        <v>6099.4286353785828</v>
      </c>
      <c r="E103" s="24">
        <f t="shared" ca="1" si="23"/>
        <v>975.9085816605733</v>
      </c>
      <c r="F103" s="24">
        <f t="shared" ca="1" si="17"/>
        <v>2116.2902896170085</v>
      </c>
      <c r="G103" s="132">
        <f t="shared" ca="1" si="20"/>
        <v>2033142.8784595276</v>
      </c>
      <c r="H103" s="41">
        <f t="shared" ca="1" si="25"/>
        <v>380.25220650107434</v>
      </c>
      <c r="I103" s="84">
        <f t="shared" si="21"/>
        <v>98</v>
      </c>
      <c r="J103" s="50"/>
      <c r="K103" s="24">
        <f t="shared" si="18"/>
        <v>0</v>
      </c>
      <c r="L103" s="62">
        <f t="shared" ca="1" si="19"/>
        <v>16914</v>
      </c>
      <c r="M103" s="3">
        <f>SUM($J$21:J103)</f>
        <v>0</v>
      </c>
      <c r="N103" s="3">
        <f>COUNT($B$21:B103)</f>
        <v>83</v>
      </c>
      <c r="O103" s="3">
        <f t="shared" si="22"/>
        <v>83</v>
      </c>
      <c r="P103" s="10"/>
    </row>
    <row r="104" spans="1:17" s="3" customFormat="1" x14ac:dyDescent="0.35">
      <c r="A104" s="55">
        <f t="shared" ca="1" si="24"/>
        <v>48405</v>
      </c>
      <c r="B104" s="39">
        <v>84</v>
      </c>
      <c r="C104" s="40">
        <f t="shared" ca="1" si="15"/>
        <v>7598.8715082424851</v>
      </c>
      <c r="D104" s="24">
        <f t="shared" ca="1" si="16"/>
        <v>6312.9086376168334</v>
      </c>
      <c r="E104" s="24">
        <f t="shared" ca="1" si="23"/>
        <v>1010.0653820186934</v>
      </c>
      <c r="F104" s="24">
        <f t="shared" ca="1" si="17"/>
        <v>2190.3604497536039</v>
      </c>
      <c r="G104" s="132">
        <f t="shared" ca="1" si="20"/>
        <v>2104302.8792056111</v>
      </c>
      <c r="H104" s="41">
        <f t="shared" ca="1" si="25"/>
        <v>393.5610337286119</v>
      </c>
      <c r="I104" s="84">
        <f t="shared" si="21"/>
        <v>97</v>
      </c>
      <c r="J104" s="50"/>
      <c r="K104" s="24">
        <f t="shared" si="18"/>
        <v>0</v>
      </c>
      <c r="L104" s="62">
        <f t="shared" ca="1" si="19"/>
        <v>17506</v>
      </c>
      <c r="M104" s="3">
        <f>SUM($J$21:J104)</f>
        <v>0</v>
      </c>
      <c r="N104" s="3">
        <f>COUNT($B$21:B104)</f>
        <v>84</v>
      </c>
      <c r="O104" s="3">
        <f t="shared" si="22"/>
        <v>84</v>
      </c>
      <c r="P104" s="10"/>
    </row>
    <row r="105" spans="1:17" s="3" customFormat="1" x14ac:dyDescent="0.35">
      <c r="A105" s="55">
        <f t="shared" ca="1" si="24"/>
        <v>48436</v>
      </c>
      <c r="B105" s="39">
        <v>85</v>
      </c>
      <c r="C105" s="40">
        <f t="shared" ca="1" si="15"/>
        <v>7598.8715082424851</v>
      </c>
      <c r="D105" s="24">
        <f t="shared" ca="1" si="16"/>
        <v>6312.9086376168334</v>
      </c>
      <c r="E105" s="24">
        <f t="shared" ca="1" si="23"/>
        <v>1010.0653820186934</v>
      </c>
      <c r="F105" s="24">
        <f t="shared" ca="1" si="17"/>
        <v>2190.3604497536039</v>
      </c>
      <c r="G105" s="132">
        <f t="shared" ca="1" si="20"/>
        <v>2104302.8792056111</v>
      </c>
      <c r="H105" s="41">
        <f t="shared" ca="1" si="25"/>
        <v>393.5610337286119</v>
      </c>
      <c r="I105" s="84">
        <f t="shared" si="21"/>
        <v>96</v>
      </c>
      <c r="J105" s="50"/>
      <c r="K105" s="24">
        <f t="shared" si="18"/>
        <v>0</v>
      </c>
      <c r="L105" s="62">
        <f t="shared" ca="1" si="19"/>
        <v>17506</v>
      </c>
      <c r="M105" s="3">
        <f>SUM($J$21:J105)</f>
        <v>0</v>
      </c>
      <c r="N105" s="3">
        <f>COUNT($B$21:B105)</f>
        <v>85</v>
      </c>
      <c r="O105" s="3">
        <f t="shared" si="22"/>
        <v>85</v>
      </c>
      <c r="P105" s="10"/>
    </row>
    <row r="106" spans="1:17" s="3" customFormat="1" x14ac:dyDescent="0.35">
      <c r="A106" s="55">
        <f t="shared" ca="1" si="24"/>
        <v>48467</v>
      </c>
      <c r="B106" s="39">
        <v>86</v>
      </c>
      <c r="C106" s="40">
        <f t="shared" ca="1" si="15"/>
        <v>7598.8715082424851</v>
      </c>
      <c r="D106" s="24">
        <f t="shared" ca="1" si="16"/>
        <v>6312.9086376168334</v>
      </c>
      <c r="E106" s="24">
        <f t="shared" ca="1" si="23"/>
        <v>1010.0653820186934</v>
      </c>
      <c r="F106" s="24">
        <f t="shared" ca="1" si="17"/>
        <v>2190.3604497536039</v>
      </c>
      <c r="G106" s="132">
        <f t="shared" ca="1" si="20"/>
        <v>2104302.8792056111</v>
      </c>
      <c r="H106" s="41">
        <f t="shared" ca="1" si="25"/>
        <v>393.5610337286119</v>
      </c>
      <c r="I106" s="84">
        <f t="shared" si="21"/>
        <v>95</v>
      </c>
      <c r="J106" s="50"/>
      <c r="K106" s="24">
        <f t="shared" si="18"/>
        <v>0</v>
      </c>
      <c r="L106" s="62">
        <f t="shared" ca="1" si="19"/>
        <v>17506</v>
      </c>
      <c r="M106" s="3">
        <f>SUM($J$21:J106)</f>
        <v>0</v>
      </c>
      <c r="N106" s="3">
        <f>COUNT($B$21:B106)</f>
        <v>86</v>
      </c>
      <c r="O106" s="3">
        <f t="shared" si="22"/>
        <v>86</v>
      </c>
      <c r="P106" s="10"/>
    </row>
    <row r="107" spans="1:17" s="3" customFormat="1" x14ac:dyDescent="0.35">
      <c r="A107" s="55">
        <f t="shared" ca="1" si="24"/>
        <v>48497</v>
      </c>
      <c r="B107" s="39">
        <v>87</v>
      </c>
      <c r="C107" s="40">
        <f t="shared" ca="1" si="15"/>
        <v>7598.8715082424851</v>
      </c>
      <c r="D107" s="24">
        <f t="shared" ca="1" si="16"/>
        <v>6312.9086376168334</v>
      </c>
      <c r="E107" s="24">
        <f t="shared" ca="1" si="23"/>
        <v>1010.0653820186934</v>
      </c>
      <c r="F107" s="24">
        <f t="shared" ca="1" si="17"/>
        <v>2190.3604497536039</v>
      </c>
      <c r="G107" s="132">
        <f t="shared" ca="1" si="20"/>
        <v>2104302.8792056111</v>
      </c>
      <c r="H107" s="41">
        <f t="shared" ca="1" si="25"/>
        <v>393.5610337286119</v>
      </c>
      <c r="I107" s="84">
        <f t="shared" si="21"/>
        <v>94</v>
      </c>
      <c r="J107" s="50"/>
      <c r="K107" s="24">
        <f t="shared" si="18"/>
        <v>0</v>
      </c>
      <c r="L107" s="62">
        <f t="shared" ca="1" si="19"/>
        <v>17506</v>
      </c>
      <c r="M107" s="3">
        <f>SUM($J$21:J107)</f>
        <v>0</v>
      </c>
      <c r="N107" s="3">
        <f>COUNT($B$21:B107)</f>
        <v>87</v>
      </c>
      <c r="O107" s="3">
        <f t="shared" si="22"/>
        <v>87</v>
      </c>
      <c r="P107" s="10"/>
    </row>
    <row r="108" spans="1:17" s="3" customFormat="1" x14ac:dyDescent="0.35">
      <c r="A108" s="55">
        <f t="shared" ca="1" si="24"/>
        <v>48528</v>
      </c>
      <c r="B108" s="39">
        <v>88</v>
      </c>
      <c r="C108" s="40">
        <f t="shared" ca="1" si="15"/>
        <v>7598.8715082424851</v>
      </c>
      <c r="D108" s="24">
        <f t="shared" ca="1" si="16"/>
        <v>6312.9086376168334</v>
      </c>
      <c r="E108" s="24">
        <f t="shared" ca="1" si="23"/>
        <v>1010.0653820186934</v>
      </c>
      <c r="F108" s="24">
        <f t="shared" ca="1" si="17"/>
        <v>2190.3604497536039</v>
      </c>
      <c r="G108" s="132">
        <f t="shared" ca="1" si="20"/>
        <v>2104302.8792056111</v>
      </c>
      <c r="H108" s="41">
        <f t="shared" ca="1" si="25"/>
        <v>393.5610337286119</v>
      </c>
      <c r="I108" s="84">
        <f t="shared" si="21"/>
        <v>93</v>
      </c>
      <c r="J108" s="50"/>
      <c r="K108" s="24">
        <f t="shared" si="18"/>
        <v>0</v>
      </c>
      <c r="L108" s="62">
        <f t="shared" ca="1" si="19"/>
        <v>17506</v>
      </c>
      <c r="M108" s="3">
        <f>SUM($J$21:J108)</f>
        <v>0</v>
      </c>
      <c r="N108" s="3">
        <f>COUNT($B$21:B108)</f>
        <v>88</v>
      </c>
      <c r="O108" s="3">
        <f t="shared" si="22"/>
        <v>88</v>
      </c>
      <c r="P108" s="10"/>
    </row>
    <row r="109" spans="1:17" s="3" customFormat="1" x14ac:dyDescent="0.35">
      <c r="A109" s="55">
        <f t="shared" ca="1" si="24"/>
        <v>48558</v>
      </c>
      <c r="B109" s="39">
        <v>89</v>
      </c>
      <c r="C109" s="40">
        <f t="shared" ca="1" si="15"/>
        <v>7598.8715082424851</v>
      </c>
      <c r="D109" s="24">
        <f t="shared" ca="1" si="16"/>
        <v>6312.9086376168334</v>
      </c>
      <c r="E109" s="24">
        <f t="shared" ca="1" si="23"/>
        <v>1010.0653820186934</v>
      </c>
      <c r="F109" s="24">
        <f t="shared" ca="1" si="17"/>
        <v>2190.3604497536039</v>
      </c>
      <c r="G109" s="132">
        <f t="shared" ca="1" si="20"/>
        <v>2104302.8792056111</v>
      </c>
      <c r="H109" s="41">
        <f t="shared" ca="1" si="25"/>
        <v>393.5610337286119</v>
      </c>
      <c r="I109" s="84">
        <f t="shared" si="21"/>
        <v>92</v>
      </c>
      <c r="J109" s="50"/>
      <c r="K109" s="24">
        <f t="shared" si="18"/>
        <v>0</v>
      </c>
      <c r="L109" s="62">
        <f t="shared" ca="1" si="19"/>
        <v>17506</v>
      </c>
      <c r="M109" s="3">
        <f>SUM($J$21:J109)</f>
        <v>0</v>
      </c>
      <c r="N109" s="3">
        <f>COUNT($B$21:B109)</f>
        <v>89</v>
      </c>
      <c r="O109" s="3">
        <f t="shared" si="22"/>
        <v>89</v>
      </c>
      <c r="P109" s="10"/>
    </row>
    <row r="110" spans="1:17" s="3" customFormat="1" x14ac:dyDescent="0.35">
      <c r="A110" s="55">
        <f t="shared" ca="1" si="24"/>
        <v>48589</v>
      </c>
      <c r="B110" s="39">
        <v>90</v>
      </c>
      <c r="C110" s="40">
        <f t="shared" ca="1" si="15"/>
        <v>7864.8320110309714</v>
      </c>
      <c r="D110" s="24">
        <f t="shared" ca="1" si="16"/>
        <v>6533.8604399334226</v>
      </c>
      <c r="E110" s="24">
        <f t="shared" ca="1" si="23"/>
        <v>1045.4176703893477</v>
      </c>
      <c r="F110" s="24">
        <f t="shared" ca="1" si="17"/>
        <v>2267.0230654949801</v>
      </c>
      <c r="G110" s="132">
        <f t="shared" ca="1" si="20"/>
        <v>2177953.4799778075</v>
      </c>
      <c r="H110" s="41">
        <f t="shared" ca="1" si="25"/>
        <v>407.33566990911339</v>
      </c>
      <c r="I110" s="84">
        <f t="shared" si="21"/>
        <v>91</v>
      </c>
      <c r="J110" s="50"/>
      <c r="K110" s="24">
        <f t="shared" si="18"/>
        <v>0</v>
      </c>
      <c r="L110" s="62">
        <f t="shared" ca="1" si="19"/>
        <v>18119</v>
      </c>
      <c r="M110" s="3">
        <f>SUM($J$21:J110)</f>
        <v>0</v>
      </c>
      <c r="N110" s="3">
        <f>COUNT($B$21:B110)</f>
        <v>90</v>
      </c>
      <c r="O110" s="3">
        <f t="shared" si="22"/>
        <v>90</v>
      </c>
      <c r="P110" s="10"/>
      <c r="Q110" s="12"/>
    </row>
    <row r="111" spans="1:17" s="3" customFormat="1" x14ac:dyDescent="0.35">
      <c r="A111" s="55">
        <f t="shared" ca="1" si="24"/>
        <v>48620</v>
      </c>
      <c r="B111" s="39">
        <v>91</v>
      </c>
      <c r="C111" s="40">
        <f t="shared" ca="1" si="15"/>
        <v>7864.8320110309714</v>
      </c>
      <c r="D111" s="24">
        <f t="shared" ca="1" si="16"/>
        <v>6533.8604399334226</v>
      </c>
      <c r="E111" s="24">
        <f t="shared" ca="1" si="23"/>
        <v>1045.4176703893477</v>
      </c>
      <c r="F111" s="24">
        <f t="shared" ca="1" si="17"/>
        <v>2267.0230654949801</v>
      </c>
      <c r="G111" s="132">
        <f t="shared" ca="1" si="20"/>
        <v>2177953.4799778075</v>
      </c>
      <c r="H111" s="41">
        <f t="shared" ca="1" si="25"/>
        <v>407.33566990911339</v>
      </c>
      <c r="I111" s="84">
        <f t="shared" si="21"/>
        <v>90</v>
      </c>
      <c r="J111" s="50"/>
      <c r="K111" s="24">
        <f t="shared" si="18"/>
        <v>0</v>
      </c>
      <c r="L111" s="62">
        <f t="shared" ca="1" si="19"/>
        <v>18119</v>
      </c>
      <c r="M111" s="3">
        <f>SUM($J$21:J111)</f>
        <v>0</v>
      </c>
      <c r="N111" s="3">
        <f>COUNT($B$21:B111)</f>
        <v>91</v>
      </c>
      <c r="O111" s="3">
        <f t="shared" si="22"/>
        <v>91</v>
      </c>
      <c r="P111" s="10"/>
      <c r="Q111" s="13"/>
    </row>
    <row r="112" spans="1:17" s="3" customFormat="1" x14ac:dyDescent="0.35">
      <c r="A112" s="55">
        <f t="shared" ca="1" si="24"/>
        <v>48648</v>
      </c>
      <c r="B112" s="39">
        <v>92</v>
      </c>
      <c r="C112" s="40">
        <f t="shared" ca="1" si="15"/>
        <v>7864.8320110309714</v>
      </c>
      <c r="D112" s="24">
        <f t="shared" ca="1" si="16"/>
        <v>6533.8604399334226</v>
      </c>
      <c r="E112" s="24">
        <f t="shared" ca="1" si="23"/>
        <v>1045.4176703893477</v>
      </c>
      <c r="F112" s="24">
        <f t="shared" ca="1" si="17"/>
        <v>2267.0230654949801</v>
      </c>
      <c r="G112" s="132">
        <f t="shared" ca="1" si="20"/>
        <v>2177953.4799778075</v>
      </c>
      <c r="H112" s="41">
        <f t="shared" ca="1" si="25"/>
        <v>407.33566990911339</v>
      </c>
      <c r="I112" s="84">
        <f t="shared" si="21"/>
        <v>89</v>
      </c>
      <c r="J112" s="50"/>
      <c r="K112" s="24">
        <f t="shared" si="18"/>
        <v>0</v>
      </c>
      <c r="L112" s="62">
        <f t="shared" ca="1" si="19"/>
        <v>18119</v>
      </c>
      <c r="M112" s="3">
        <f>SUM($J$21:J112)</f>
        <v>0</v>
      </c>
      <c r="N112" s="3">
        <f>COUNT($B$21:B112)</f>
        <v>92</v>
      </c>
      <c r="O112" s="3">
        <f t="shared" si="22"/>
        <v>92</v>
      </c>
      <c r="P112" s="10"/>
      <c r="Q112" s="12"/>
    </row>
    <row r="113" spans="1:17" s="3" customFormat="1" x14ac:dyDescent="0.35">
      <c r="A113" s="55">
        <f t="shared" ca="1" si="24"/>
        <v>48679</v>
      </c>
      <c r="B113" s="39">
        <v>93</v>
      </c>
      <c r="C113" s="40">
        <f t="shared" ca="1" si="15"/>
        <v>7864.8320110309714</v>
      </c>
      <c r="D113" s="24">
        <f t="shared" ca="1" si="16"/>
        <v>6533.8604399334226</v>
      </c>
      <c r="E113" s="24">
        <f t="shared" ca="1" si="23"/>
        <v>1045.4176703893477</v>
      </c>
      <c r="F113" s="24">
        <f t="shared" ca="1" si="17"/>
        <v>2267.0230654949801</v>
      </c>
      <c r="G113" s="132">
        <f t="shared" ca="1" si="20"/>
        <v>2177953.4799778075</v>
      </c>
      <c r="H113" s="41">
        <f t="shared" ca="1" si="25"/>
        <v>407.33566990911339</v>
      </c>
      <c r="I113" s="84">
        <f t="shared" si="21"/>
        <v>88</v>
      </c>
      <c r="J113" s="50"/>
      <c r="K113" s="24">
        <f t="shared" si="18"/>
        <v>0</v>
      </c>
      <c r="L113" s="62">
        <f t="shared" ca="1" si="19"/>
        <v>18119</v>
      </c>
      <c r="M113" s="3">
        <f>SUM($J$21:J113)</f>
        <v>0</v>
      </c>
      <c r="N113" s="3">
        <f>COUNT($B$21:B113)</f>
        <v>93</v>
      </c>
      <c r="O113" s="3">
        <f t="shared" si="22"/>
        <v>93</v>
      </c>
      <c r="P113" s="10"/>
      <c r="Q113" s="42"/>
    </row>
    <row r="114" spans="1:17" s="3" customFormat="1" x14ac:dyDescent="0.35">
      <c r="A114" s="55">
        <f t="shared" ca="1" si="24"/>
        <v>48709</v>
      </c>
      <c r="B114" s="39">
        <v>94</v>
      </c>
      <c r="C114" s="40">
        <f t="shared" ca="1" si="15"/>
        <v>7864.8320110309714</v>
      </c>
      <c r="D114" s="24">
        <f t="shared" ca="1" si="16"/>
        <v>6533.8604399334226</v>
      </c>
      <c r="E114" s="24">
        <f t="shared" ca="1" si="23"/>
        <v>1045.4176703893477</v>
      </c>
      <c r="F114" s="24">
        <f t="shared" ca="1" si="17"/>
        <v>2267.0230654949801</v>
      </c>
      <c r="G114" s="132">
        <f t="shared" ca="1" si="20"/>
        <v>2177953.4799778075</v>
      </c>
      <c r="H114" s="41">
        <f t="shared" ca="1" si="25"/>
        <v>407.33566990911339</v>
      </c>
      <c r="I114" s="84">
        <f t="shared" si="21"/>
        <v>87</v>
      </c>
      <c r="J114" s="50"/>
      <c r="K114" s="24">
        <f t="shared" si="18"/>
        <v>0</v>
      </c>
      <c r="L114" s="62">
        <f t="shared" ca="1" si="19"/>
        <v>18119</v>
      </c>
      <c r="M114" s="3">
        <f>SUM($J$21:J114)</f>
        <v>0</v>
      </c>
      <c r="N114" s="3">
        <f>COUNT($B$21:B114)</f>
        <v>94</v>
      </c>
      <c r="O114" s="3">
        <f t="shared" si="22"/>
        <v>94</v>
      </c>
      <c r="P114" s="10"/>
    </row>
    <row r="115" spans="1:17" s="3" customFormat="1" x14ac:dyDescent="0.35">
      <c r="A115" s="55">
        <f t="shared" ca="1" si="24"/>
        <v>48740</v>
      </c>
      <c r="B115" s="39">
        <v>95</v>
      </c>
      <c r="C115" s="40">
        <f t="shared" ca="1" si="15"/>
        <v>7864.8320110309714</v>
      </c>
      <c r="D115" s="24">
        <f t="shared" ca="1" si="16"/>
        <v>6533.8604399334226</v>
      </c>
      <c r="E115" s="24">
        <f t="shared" ca="1" si="23"/>
        <v>1045.4176703893477</v>
      </c>
      <c r="F115" s="24">
        <f t="shared" ca="1" si="17"/>
        <v>2267.0230654949801</v>
      </c>
      <c r="G115" s="132">
        <f t="shared" ca="1" si="20"/>
        <v>2177953.4799778075</v>
      </c>
      <c r="H115" s="41">
        <f t="shared" ca="1" si="25"/>
        <v>407.33566990911339</v>
      </c>
      <c r="I115" s="84">
        <f t="shared" si="21"/>
        <v>86</v>
      </c>
      <c r="J115" s="50"/>
      <c r="K115" s="24">
        <f t="shared" si="18"/>
        <v>0</v>
      </c>
      <c r="L115" s="62">
        <f t="shared" ca="1" si="19"/>
        <v>18119</v>
      </c>
      <c r="M115" s="3">
        <f>SUM($J$21:J115)</f>
        <v>0</v>
      </c>
      <c r="N115" s="3">
        <f>COUNT($B$21:B115)</f>
        <v>95</v>
      </c>
      <c r="O115" s="3">
        <f t="shared" si="22"/>
        <v>95</v>
      </c>
      <c r="P115" s="10"/>
    </row>
    <row r="116" spans="1:17" s="3" customFormat="1" x14ac:dyDescent="0.35">
      <c r="A116" s="55">
        <f t="shared" ca="1" si="24"/>
        <v>48770</v>
      </c>
      <c r="B116" s="39">
        <v>96</v>
      </c>
      <c r="C116" s="40">
        <f t="shared" ca="1" si="15"/>
        <v>8140.1011314170555</v>
      </c>
      <c r="D116" s="24">
        <f t="shared" ca="1" si="16"/>
        <v>6762.5455553310921</v>
      </c>
      <c r="E116" s="24">
        <f t="shared" ca="1" si="23"/>
        <v>1082.0072888529749</v>
      </c>
      <c r="F116" s="24">
        <f t="shared" ca="1" si="17"/>
        <v>2346.3688727873046</v>
      </c>
      <c r="G116" s="132">
        <f t="shared" ca="1" si="20"/>
        <v>2254181.8517770306</v>
      </c>
      <c r="H116" s="41">
        <f t="shared" ca="1" si="25"/>
        <v>421.59241835593235</v>
      </c>
      <c r="I116" s="84">
        <f t="shared" si="21"/>
        <v>85</v>
      </c>
      <c r="J116" s="50"/>
      <c r="K116" s="24">
        <f t="shared" si="18"/>
        <v>0</v>
      </c>
      <c r="L116" s="62">
        <f t="shared" ca="1" si="19"/>
        <v>18753</v>
      </c>
      <c r="M116" s="3">
        <f>SUM($J$21:J116)</f>
        <v>0</v>
      </c>
      <c r="N116" s="3">
        <f>COUNT($B$21:B116)</f>
        <v>96</v>
      </c>
      <c r="O116" s="3">
        <f t="shared" si="22"/>
        <v>96</v>
      </c>
      <c r="P116" s="10"/>
    </row>
    <row r="117" spans="1:17" s="3" customFormat="1" x14ac:dyDescent="0.35">
      <c r="A117" s="55">
        <f t="shared" ca="1" si="24"/>
        <v>48801</v>
      </c>
      <c r="B117" s="39">
        <v>97</v>
      </c>
      <c r="C117" s="40">
        <f t="shared" ca="1" si="15"/>
        <v>8140.1011314170555</v>
      </c>
      <c r="D117" s="24">
        <f t="shared" ca="1" si="16"/>
        <v>6762.5455553310921</v>
      </c>
      <c r="E117" s="24">
        <f t="shared" ca="1" si="23"/>
        <v>1082.0072888529749</v>
      </c>
      <c r="F117" s="24">
        <f t="shared" ca="1" si="17"/>
        <v>2346.3688727873046</v>
      </c>
      <c r="G117" s="132">
        <f t="shared" ca="1" si="20"/>
        <v>2254181.8517770306</v>
      </c>
      <c r="H117" s="41">
        <f t="shared" ca="1" si="25"/>
        <v>421.59241835593235</v>
      </c>
      <c r="I117" s="84">
        <f t="shared" si="21"/>
        <v>84</v>
      </c>
      <c r="J117" s="50"/>
      <c r="K117" s="24">
        <f t="shared" si="18"/>
        <v>0</v>
      </c>
      <c r="L117" s="62">
        <f t="shared" ca="1" si="19"/>
        <v>18753</v>
      </c>
      <c r="M117" s="3">
        <f>SUM($J$21:J117)</f>
        <v>0</v>
      </c>
      <c r="N117" s="3">
        <f>COUNT($B$21:B117)</f>
        <v>97</v>
      </c>
      <c r="O117" s="3">
        <f t="shared" si="22"/>
        <v>97</v>
      </c>
      <c r="P117" s="10"/>
    </row>
    <row r="118" spans="1:17" s="3" customFormat="1" x14ac:dyDescent="0.35">
      <c r="A118" s="55">
        <f t="shared" ca="1" si="24"/>
        <v>48832</v>
      </c>
      <c r="B118" s="39">
        <v>98</v>
      </c>
      <c r="C118" s="40">
        <f t="shared" ref="C118:C149" ca="1" si="26">IF(O117&gt;179,0,(G118*$L$2)/$D$9)</f>
        <v>8140.1011314170555</v>
      </c>
      <c r="D118" s="24">
        <f t="shared" ref="D118:D149" ca="1" si="27">IF(O117&gt;179,0,(G118*$D$3))</f>
        <v>6762.5455553310921</v>
      </c>
      <c r="E118" s="24">
        <f t="shared" ca="1" si="23"/>
        <v>1082.0072888529749</v>
      </c>
      <c r="F118" s="24">
        <f t="shared" ref="F118:F149" ca="1" si="28">IF(O117&gt;179,0,((G118/$D$9)+D118+E118)*($D$9)*(0.064%))</f>
        <v>2346.3688727873046</v>
      </c>
      <c r="G118" s="132">
        <f t="shared" ca="1" si="20"/>
        <v>2254181.8517770306</v>
      </c>
      <c r="H118" s="41">
        <f t="shared" ca="1" si="25"/>
        <v>421.59241835593235</v>
      </c>
      <c r="I118" s="84">
        <f t="shared" si="21"/>
        <v>83</v>
      </c>
      <c r="J118" s="50"/>
      <c r="K118" s="24">
        <f t="shared" si="18"/>
        <v>0</v>
      </c>
      <c r="L118" s="62">
        <f t="shared" ca="1" si="19"/>
        <v>18753</v>
      </c>
      <c r="M118" s="3">
        <f>SUM($J$21:J118)</f>
        <v>0</v>
      </c>
      <c r="N118" s="3">
        <f>COUNT($B$21:B118)</f>
        <v>98</v>
      </c>
      <c r="O118" s="3">
        <f t="shared" si="22"/>
        <v>98</v>
      </c>
      <c r="P118" s="10"/>
    </row>
    <row r="119" spans="1:17" s="3" customFormat="1" x14ac:dyDescent="0.35">
      <c r="A119" s="55">
        <f t="shared" ca="1" si="24"/>
        <v>48862</v>
      </c>
      <c r="B119" s="39">
        <v>99</v>
      </c>
      <c r="C119" s="40">
        <f t="shared" ca="1" si="26"/>
        <v>8140.1011314170555</v>
      </c>
      <c r="D119" s="24">
        <f t="shared" ca="1" si="27"/>
        <v>6762.5455553310921</v>
      </c>
      <c r="E119" s="24">
        <f t="shared" ca="1" si="23"/>
        <v>1082.0072888529749</v>
      </c>
      <c r="F119" s="24">
        <f t="shared" ca="1" si="28"/>
        <v>2346.3688727873046</v>
      </c>
      <c r="G119" s="132">
        <f t="shared" ca="1" si="20"/>
        <v>2254181.8517770306</v>
      </c>
      <c r="H119" s="41">
        <f t="shared" ca="1" si="25"/>
        <v>421.59241835593235</v>
      </c>
      <c r="I119" s="84">
        <f t="shared" si="21"/>
        <v>82</v>
      </c>
      <c r="J119" s="50"/>
      <c r="K119" s="24">
        <f t="shared" si="18"/>
        <v>0</v>
      </c>
      <c r="L119" s="62">
        <f t="shared" ca="1" si="19"/>
        <v>18753</v>
      </c>
      <c r="M119" s="3">
        <f>SUM($J$21:J119)</f>
        <v>0</v>
      </c>
      <c r="N119" s="3">
        <f>COUNT($B$21:B119)</f>
        <v>99</v>
      </c>
      <c r="O119" s="3">
        <f t="shared" si="22"/>
        <v>99</v>
      </c>
      <c r="P119" s="10"/>
    </row>
    <row r="120" spans="1:17" s="3" customFormat="1" x14ac:dyDescent="0.35">
      <c r="A120" s="55">
        <f t="shared" ca="1" si="24"/>
        <v>48893</v>
      </c>
      <c r="B120" s="39">
        <v>100</v>
      </c>
      <c r="C120" s="40">
        <f t="shared" ca="1" si="26"/>
        <v>8140.1011314170555</v>
      </c>
      <c r="D120" s="24">
        <f t="shared" ca="1" si="27"/>
        <v>6762.5455553310921</v>
      </c>
      <c r="E120" s="24">
        <f t="shared" ca="1" si="23"/>
        <v>1082.0072888529749</v>
      </c>
      <c r="F120" s="24">
        <f t="shared" ca="1" si="28"/>
        <v>2346.3688727873046</v>
      </c>
      <c r="G120" s="132">
        <f t="shared" ca="1" si="20"/>
        <v>2254181.8517770306</v>
      </c>
      <c r="H120" s="41">
        <f t="shared" ca="1" si="25"/>
        <v>421.59241835593235</v>
      </c>
      <c r="I120" s="84">
        <f t="shared" si="21"/>
        <v>81</v>
      </c>
      <c r="J120" s="50"/>
      <c r="K120" s="24">
        <f t="shared" si="18"/>
        <v>0</v>
      </c>
      <c r="L120" s="62">
        <f t="shared" ca="1" si="19"/>
        <v>18753</v>
      </c>
      <c r="M120" s="3">
        <f>SUM($J$21:J120)</f>
        <v>0</v>
      </c>
      <c r="N120" s="3">
        <f>COUNT($B$21:B120)</f>
        <v>100</v>
      </c>
      <c r="O120" s="3">
        <f t="shared" si="22"/>
        <v>100</v>
      </c>
      <c r="P120" s="10"/>
    </row>
    <row r="121" spans="1:17" s="3" customFormat="1" x14ac:dyDescent="0.35">
      <c r="A121" s="55">
        <f t="shared" ca="1" si="24"/>
        <v>48923</v>
      </c>
      <c r="B121" s="39">
        <v>101</v>
      </c>
      <c r="C121" s="40">
        <f t="shared" ca="1" si="26"/>
        <v>8140.1011314170555</v>
      </c>
      <c r="D121" s="24">
        <f t="shared" ca="1" si="27"/>
        <v>6762.5455553310921</v>
      </c>
      <c r="E121" s="24">
        <f t="shared" ca="1" si="23"/>
        <v>1082.0072888529749</v>
      </c>
      <c r="F121" s="24">
        <f t="shared" ca="1" si="28"/>
        <v>2346.3688727873046</v>
      </c>
      <c r="G121" s="132">
        <f t="shared" ca="1" si="20"/>
        <v>2254181.8517770306</v>
      </c>
      <c r="H121" s="41">
        <f t="shared" ca="1" si="25"/>
        <v>421.59241835593235</v>
      </c>
      <c r="I121" s="84">
        <f t="shared" si="21"/>
        <v>80</v>
      </c>
      <c r="J121" s="50"/>
      <c r="K121" s="24">
        <f t="shared" si="18"/>
        <v>0</v>
      </c>
      <c r="L121" s="62">
        <f t="shared" ca="1" si="19"/>
        <v>18753</v>
      </c>
      <c r="M121" s="3">
        <f>SUM($J$21:J121)</f>
        <v>0</v>
      </c>
      <c r="N121" s="3">
        <f>COUNT($B$21:B121)</f>
        <v>101</v>
      </c>
      <c r="O121" s="3">
        <f t="shared" si="22"/>
        <v>101</v>
      </c>
      <c r="P121" s="10"/>
    </row>
    <row r="122" spans="1:17" s="3" customFormat="1" x14ac:dyDescent="0.35">
      <c r="A122" s="55">
        <f t="shared" ca="1" si="24"/>
        <v>48954</v>
      </c>
      <c r="B122" s="39">
        <v>102</v>
      </c>
      <c r="C122" s="40">
        <f t="shared" ca="1" si="26"/>
        <v>8425.0046710166516</v>
      </c>
      <c r="D122" s="24">
        <f t="shared" ca="1" si="27"/>
        <v>6999.234649767679</v>
      </c>
      <c r="E122" s="24">
        <f t="shared" ca="1" si="23"/>
        <v>1119.8775439628287</v>
      </c>
      <c r="F122" s="24">
        <f t="shared" ca="1" si="28"/>
        <v>2428.4917833348595</v>
      </c>
      <c r="G122" s="132">
        <f t="shared" ca="1" si="20"/>
        <v>2333078.2165892264</v>
      </c>
      <c r="H122" s="41">
        <f t="shared" ca="1" si="25"/>
        <v>436.34815299838988</v>
      </c>
      <c r="I122" s="84">
        <f t="shared" si="21"/>
        <v>79</v>
      </c>
      <c r="J122" s="50"/>
      <c r="K122" s="24">
        <f t="shared" si="18"/>
        <v>0</v>
      </c>
      <c r="L122" s="62">
        <f t="shared" ca="1" si="19"/>
        <v>19409</v>
      </c>
      <c r="M122" s="3">
        <f>SUM($J$21:J122)</f>
        <v>0</v>
      </c>
      <c r="N122" s="3">
        <f>COUNT($B$21:B122)</f>
        <v>102</v>
      </c>
      <c r="O122" s="3">
        <f t="shared" si="22"/>
        <v>102</v>
      </c>
      <c r="P122" s="10"/>
    </row>
    <row r="123" spans="1:17" s="72" customFormat="1" x14ac:dyDescent="0.35">
      <c r="A123" s="66">
        <f t="shared" ca="1" si="24"/>
        <v>48985</v>
      </c>
      <c r="B123" s="67">
        <v>103</v>
      </c>
      <c r="C123" s="68">
        <f t="shared" ca="1" si="26"/>
        <v>8425.0046710166516</v>
      </c>
      <c r="D123" s="69">
        <f t="shared" ca="1" si="27"/>
        <v>6999.234649767679</v>
      </c>
      <c r="E123" s="69">
        <f t="shared" ca="1" si="23"/>
        <v>1119.8775439628287</v>
      </c>
      <c r="F123" s="69">
        <f t="shared" ca="1" si="28"/>
        <v>2428.4917833348595</v>
      </c>
      <c r="G123" s="132">
        <f t="shared" ca="1" si="20"/>
        <v>2333078.2165892264</v>
      </c>
      <c r="H123" s="70">
        <f t="shared" ca="1" si="25"/>
        <v>436.34815299838988</v>
      </c>
      <c r="I123" s="96">
        <f t="shared" si="21"/>
        <v>78</v>
      </c>
      <c r="J123" s="71"/>
      <c r="K123" s="69">
        <f t="shared" si="18"/>
        <v>0</v>
      </c>
      <c r="L123" s="62">
        <f t="shared" ca="1" si="19"/>
        <v>19409</v>
      </c>
      <c r="M123" s="72">
        <f>SUM($J$21:J123)</f>
        <v>0</v>
      </c>
      <c r="N123" s="72">
        <f>COUNT($B$21:B123)</f>
        <v>103</v>
      </c>
      <c r="O123" s="72">
        <f t="shared" si="22"/>
        <v>103</v>
      </c>
      <c r="P123" s="63"/>
    </row>
    <row r="124" spans="1:17" s="3" customFormat="1" x14ac:dyDescent="0.35">
      <c r="A124" s="55">
        <f t="shared" ca="1" si="24"/>
        <v>49013</v>
      </c>
      <c r="B124" s="39">
        <v>104</v>
      </c>
      <c r="C124" s="40">
        <f t="shared" ca="1" si="26"/>
        <v>8425.0046710166516</v>
      </c>
      <c r="D124" s="24">
        <f t="shared" ca="1" si="27"/>
        <v>6999.234649767679</v>
      </c>
      <c r="E124" s="24">
        <f t="shared" ca="1" si="23"/>
        <v>1119.8775439628287</v>
      </c>
      <c r="F124" s="24">
        <f t="shared" ca="1" si="28"/>
        <v>2428.4917833348595</v>
      </c>
      <c r="G124" s="132">
        <f t="shared" ca="1" si="20"/>
        <v>2333078.2165892264</v>
      </c>
      <c r="H124" s="41">
        <f t="shared" ca="1" si="25"/>
        <v>436.34815299838988</v>
      </c>
      <c r="I124" s="84">
        <f t="shared" si="21"/>
        <v>77</v>
      </c>
      <c r="J124" s="50"/>
      <c r="K124" s="24">
        <f t="shared" si="18"/>
        <v>0</v>
      </c>
      <c r="L124" s="62">
        <f t="shared" ca="1" si="19"/>
        <v>19409</v>
      </c>
      <c r="M124" s="3">
        <f>SUM($J$21:J124)</f>
        <v>0</v>
      </c>
      <c r="N124" s="3">
        <f>COUNT($B$21:B124)</f>
        <v>104</v>
      </c>
      <c r="O124" s="3">
        <f t="shared" si="22"/>
        <v>104</v>
      </c>
      <c r="P124" s="10"/>
    </row>
    <row r="125" spans="1:17" s="3" customFormat="1" x14ac:dyDescent="0.35">
      <c r="A125" s="55">
        <f t="shared" ca="1" si="24"/>
        <v>49044</v>
      </c>
      <c r="B125" s="39">
        <v>105</v>
      </c>
      <c r="C125" s="40">
        <f t="shared" ca="1" si="26"/>
        <v>8425.0046710166516</v>
      </c>
      <c r="D125" s="24">
        <f t="shared" ca="1" si="27"/>
        <v>6999.234649767679</v>
      </c>
      <c r="E125" s="24">
        <f t="shared" ca="1" si="23"/>
        <v>1119.8775439628287</v>
      </c>
      <c r="F125" s="24">
        <f t="shared" ca="1" si="28"/>
        <v>2428.4917833348595</v>
      </c>
      <c r="G125" s="132">
        <f t="shared" ca="1" si="20"/>
        <v>2333078.2165892264</v>
      </c>
      <c r="H125" s="41">
        <f t="shared" ca="1" si="25"/>
        <v>436.34815299838988</v>
      </c>
      <c r="I125" s="84">
        <f t="shared" si="21"/>
        <v>76</v>
      </c>
      <c r="J125" s="50"/>
      <c r="K125" s="24">
        <f t="shared" si="18"/>
        <v>0</v>
      </c>
      <c r="L125" s="62">
        <f t="shared" ca="1" si="19"/>
        <v>19409</v>
      </c>
      <c r="M125" s="3">
        <f>SUM($J$21:J125)</f>
        <v>0</v>
      </c>
      <c r="N125" s="3">
        <f>COUNT($B$21:B125)</f>
        <v>105</v>
      </c>
      <c r="O125" s="3">
        <f t="shared" si="22"/>
        <v>105</v>
      </c>
      <c r="P125" s="10"/>
    </row>
    <row r="126" spans="1:17" s="3" customFormat="1" x14ac:dyDescent="0.35">
      <c r="A126" s="55">
        <f t="shared" ca="1" si="24"/>
        <v>49074</v>
      </c>
      <c r="B126" s="39">
        <v>106</v>
      </c>
      <c r="C126" s="40">
        <f t="shared" ca="1" si="26"/>
        <v>8425.0046710166516</v>
      </c>
      <c r="D126" s="24">
        <f t="shared" ca="1" si="27"/>
        <v>6999.234649767679</v>
      </c>
      <c r="E126" s="24">
        <f t="shared" ca="1" si="23"/>
        <v>1119.8775439628287</v>
      </c>
      <c r="F126" s="24">
        <f t="shared" ca="1" si="28"/>
        <v>2428.4917833348595</v>
      </c>
      <c r="G126" s="132">
        <f t="shared" ca="1" si="20"/>
        <v>2333078.2165892264</v>
      </c>
      <c r="H126" s="41">
        <f t="shared" ca="1" si="25"/>
        <v>436.34815299838988</v>
      </c>
      <c r="I126" s="84">
        <f t="shared" si="21"/>
        <v>75</v>
      </c>
      <c r="J126" s="50"/>
      <c r="K126" s="24">
        <f t="shared" si="18"/>
        <v>0</v>
      </c>
      <c r="L126" s="62">
        <f t="shared" ca="1" si="19"/>
        <v>19409</v>
      </c>
      <c r="M126" s="3">
        <f>SUM($J$21:J126)</f>
        <v>0</v>
      </c>
      <c r="N126" s="3">
        <f>COUNT($B$21:B126)</f>
        <v>106</v>
      </c>
      <c r="O126" s="3">
        <f t="shared" si="22"/>
        <v>106</v>
      </c>
      <c r="P126" s="10"/>
    </row>
    <row r="127" spans="1:17" s="3" customFormat="1" x14ac:dyDescent="0.35">
      <c r="A127" s="55">
        <f t="shared" ca="1" si="24"/>
        <v>49105</v>
      </c>
      <c r="B127" s="39">
        <v>107</v>
      </c>
      <c r="C127" s="40">
        <f t="shared" ca="1" si="26"/>
        <v>8425.0046710166516</v>
      </c>
      <c r="D127" s="24">
        <f t="shared" ca="1" si="27"/>
        <v>6999.234649767679</v>
      </c>
      <c r="E127" s="24">
        <f t="shared" ca="1" si="23"/>
        <v>1119.8775439628287</v>
      </c>
      <c r="F127" s="24">
        <f t="shared" ca="1" si="28"/>
        <v>2428.4917833348595</v>
      </c>
      <c r="G127" s="132">
        <f t="shared" ca="1" si="20"/>
        <v>2333078.2165892264</v>
      </c>
      <c r="H127" s="41">
        <f t="shared" ca="1" si="25"/>
        <v>436.34815299838988</v>
      </c>
      <c r="I127" s="84">
        <f t="shared" si="21"/>
        <v>74</v>
      </c>
      <c r="J127" s="50"/>
      <c r="K127" s="24">
        <f t="shared" si="18"/>
        <v>0</v>
      </c>
      <c r="L127" s="62">
        <f t="shared" ca="1" si="19"/>
        <v>19409</v>
      </c>
      <c r="M127" s="3">
        <f>SUM($J$21:J127)</f>
        <v>0</v>
      </c>
      <c r="N127" s="3">
        <f>COUNT($B$21:B127)</f>
        <v>107</v>
      </c>
      <c r="O127" s="3">
        <f t="shared" si="22"/>
        <v>107</v>
      </c>
      <c r="P127" s="10"/>
    </row>
    <row r="128" spans="1:17" s="3" customFormat="1" x14ac:dyDescent="0.35">
      <c r="A128" s="55">
        <f t="shared" ca="1" si="24"/>
        <v>49135</v>
      </c>
      <c r="B128" s="39">
        <v>108</v>
      </c>
      <c r="C128" s="40">
        <f t="shared" ca="1" si="26"/>
        <v>8719.8798345022333</v>
      </c>
      <c r="D128" s="24">
        <f t="shared" ca="1" si="27"/>
        <v>7244.2078625095473</v>
      </c>
      <c r="E128" s="24">
        <f t="shared" ca="1" si="23"/>
        <v>1159.0732580015276</v>
      </c>
      <c r="F128" s="24">
        <f t="shared" ca="1" si="28"/>
        <v>2513.4889957515798</v>
      </c>
      <c r="G128" s="132">
        <f t="shared" ca="1" si="20"/>
        <v>2414735.9541698489</v>
      </c>
      <c r="H128" s="41">
        <f t="shared" ca="1" si="25"/>
        <v>451.62033835333347</v>
      </c>
      <c r="I128" s="84">
        <f t="shared" si="21"/>
        <v>73</v>
      </c>
      <c r="J128" s="50"/>
      <c r="K128" s="24">
        <f t="shared" si="18"/>
        <v>0</v>
      </c>
      <c r="L128" s="62">
        <f t="shared" ca="1" si="19"/>
        <v>20089</v>
      </c>
      <c r="M128" s="3">
        <f>SUM($J$21:J128)</f>
        <v>0</v>
      </c>
      <c r="N128" s="3">
        <f>COUNT($B$21:B128)</f>
        <v>108</v>
      </c>
      <c r="O128" s="3">
        <f t="shared" si="22"/>
        <v>108</v>
      </c>
      <c r="P128" s="10"/>
    </row>
    <row r="129" spans="1:16" s="3" customFormat="1" x14ac:dyDescent="0.35">
      <c r="A129" s="55">
        <f t="shared" ca="1" si="24"/>
        <v>49166</v>
      </c>
      <c r="B129" s="39">
        <v>109</v>
      </c>
      <c r="C129" s="40">
        <f t="shared" ca="1" si="26"/>
        <v>8719.8798345022333</v>
      </c>
      <c r="D129" s="24">
        <f t="shared" ca="1" si="27"/>
        <v>7244.2078625095473</v>
      </c>
      <c r="E129" s="24">
        <f t="shared" ca="1" si="23"/>
        <v>1159.0732580015276</v>
      </c>
      <c r="F129" s="24">
        <f t="shared" ca="1" si="28"/>
        <v>2513.4889957515798</v>
      </c>
      <c r="G129" s="132">
        <f t="shared" ca="1" si="20"/>
        <v>2414735.9541698489</v>
      </c>
      <c r="H129" s="41">
        <f t="shared" ca="1" si="25"/>
        <v>451.62033835333347</v>
      </c>
      <c r="I129" s="84">
        <f t="shared" si="21"/>
        <v>72</v>
      </c>
      <c r="J129" s="50"/>
      <c r="K129" s="24">
        <f t="shared" si="18"/>
        <v>0</v>
      </c>
      <c r="L129" s="62">
        <f t="shared" ca="1" si="19"/>
        <v>20089</v>
      </c>
      <c r="M129" s="3">
        <f>SUM($J$21:J129)</f>
        <v>0</v>
      </c>
      <c r="N129" s="3">
        <f>COUNT($B$21:B129)</f>
        <v>109</v>
      </c>
      <c r="O129" s="3">
        <f t="shared" si="22"/>
        <v>109</v>
      </c>
      <c r="P129" s="10"/>
    </row>
    <row r="130" spans="1:16" s="3" customFormat="1" x14ac:dyDescent="0.35">
      <c r="A130" s="55">
        <f t="shared" ca="1" si="24"/>
        <v>49197</v>
      </c>
      <c r="B130" s="39">
        <v>110</v>
      </c>
      <c r="C130" s="40">
        <f t="shared" ca="1" si="26"/>
        <v>8719.8798345022333</v>
      </c>
      <c r="D130" s="24">
        <f t="shared" ca="1" si="27"/>
        <v>7244.2078625095473</v>
      </c>
      <c r="E130" s="24">
        <f t="shared" ca="1" si="23"/>
        <v>1159.0732580015276</v>
      </c>
      <c r="F130" s="24">
        <f t="shared" ca="1" si="28"/>
        <v>2513.4889957515798</v>
      </c>
      <c r="G130" s="132">
        <f t="shared" ca="1" si="20"/>
        <v>2414735.9541698489</v>
      </c>
      <c r="H130" s="41">
        <f t="shared" ca="1" si="25"/>
        <v>451.62033835333347</v>
      </c>
      <c r="I130" s="84">
        <f t="shared" si="21"/>
        <v>71</v>
      </c>
      <c r="J130" s="50"/>
      <c r="K130" s="24">
        <f t="shared" si="18"/>
        <v>0</v>
      </c>
      <c r="L130" s="62">
        <f t="shared" ca="1" si="19"/>
        <v>20089</v>
      </c>
      <c r="M130" s="3">
        <f>SUM($J$21:J130)</f>
        <v>0</v>
      </c>
      <c r="N130" s="3">
        <f>COUNT($B$21:B130)</f>
        <v>110</v>
      </c>
      <c r="O130" s="3">
        <f t="shared" si="22"/>
        <v>110</v>
      </c>
      <c r="P130" s="10"/>
    </row>
    <row r="131" spans="1:16" s="3" customFormat="1" x14ac:dyDescent="0.35">
      <c r="A131" s="55">
        <f t="shared" ca="1" si="24"/>
        <v>49227</v>
      </c>
      <c r="B131" s="39">
        <v>111</v>
      </c>
      <c r="C131" s="40">
        <f t="shared" ca="1" si="26"/>
        <v>8719.8798345022333</v>
      </c>
      <c r="D131" s="24">
        <f t="shared" ca="1" si="27"/>
        <v>7244.2078625095473</v>
      </c>
      <c r="E131" s="24">
        <f t="shared" ca="1" si="23"/>
        <v>1159.0732580015276</v>
      </c>
      <c r="F131" s="24">
        <f t="shared" ca="1" si="28"/>
        <v>2513.4889957515798</v>
      </c>
      <c r="G131" s="132">
        <f t="shared" ca="1" si="20"/>
        <v>2414735.9541698489</v>
      </c>
      <c r="H131" s="41">
        <f t="shared" ca="1" si="25"/>
        <v>451.62033835333347</v>
      </c>
      <c r="I131" s="84">
        <f t="shared" si="21"/>
        <v>70</v>
      </c>
      <c r="J131" s="50"/>
      <c r="K131" s="24">
        <f t="shared" si="18"/>
        <v>0</v>
      </c>
      <c r="L131" s="62">
        <f t="shared" ca="1" si="19"/>
        <v>20089</v>
      </c>
      <c r="M131" s="3">
        <f>SUM($J$21:J131)</f>
        <v>0</v>
      </c>
      <c r="N131" s="3">
        <f>COUNT($B$21:B131)</f>
        <v>111</v>
      </c>
      <c r="O131" s="3">
        <f t="shared" si="22"/>
        <v>111</v>
      </c>
      <c r="P131" s="10"/>
    </row>
    <row r="132" spans="1:16" s="3" customFormat="1" x14ac:dyDescent="0.35">
      <c r="A132" s="55">
        <f t="shared" ca="1" si="24"/>
        <v>49258</v>
      </c>
      <c r="B132" s="39">
        <v>112</v>
      </c>
      <c r="C132" s="40">
        <f t="shared" ca="1" si="26"/>
        <v>8719.8798345022333</v>
      </c>
      <c r="D132" s="24">
        <f t="shared" ca="1" si="27"/>
        <v>7244.2078625095473</v>
      </c>
      <c r="E132" s="24">
        <f t="shared" ca="1" si="23"/>
        <v>1159.0732580015276</v>
      </c>
      <c r="F132" s="24">
        <f t="shared" ca="1" si="28"/>
        <v>2513.4889957515798</v>
      </c>
      <c r="G132" s="132">
        <f t="shared" ca="1" si="20"/>
        <v>2414735.9541698489</v>
      </c>
      <c r="H132" s="41">
        <f t="shared" ca="1" si="25"/>
        <v>451.62033835333347</v>
      </c>
      <c r="I132" s="84">
        <f t="shared" si="21"/>
        <v>69</v>
      </c>
      <c r="J132" s="50"/>
      <c r="K132" s="24">
        <f t="shared" si="18"/>
        <v>0</v>
      </c>
      <c r="L132" s="62">
        <f t="shared" ca="1" si="19"/>
        <v>20089</v>
      </c>
      <c r="M132" s="3">
        <f>SUM($J$21:J132)</f>
        <v>0</v>
      </c>
      <c r="N132" s="3">
        <f>COUNT($B$21:B132)</f>
        <v>112</v>
      </c>
      <c r="O132" s="3">
        <f t="shared" si="22"/>
        <v>112</v>
      </c>
      <c r="P132" s="10"/>
    </row>
    <row r="133" spans="1:16" s="3" customFormat="1" x14ac:dyDescent="0.35">
      <c r="A133" s="55">
        <f t="shared" ca="1" si="24"/>
        <v>49288</v>
      </c>
      <c r="B133" s="39">
        <v>113</v>
      </c>
      <c r="C133" s="40">
        <f t="shared" ca="1" si="26"/>
        <v>8719.8798345022333</v>
      </c>
      <c r="D133" s="24">
        <f t="shared" ca="1" si="27"/>
        <v>7244.2078625095473</v>
      </c>
      <c r="E133" s="24">
        <f t="shared" ca="1" si="23"/>
        <v>1159.0732580015276</v>
      </c>
      <c r="F133" s="24">
        <f t="shared" ca="1" si="28"/>
        <v>2513.4889957515798</v>
      </c>
      <c r="G133" s="132">
        <f t="shared" ca="1" si="20"/>
        <v>2414735.9541698489</v>
      </c>
      <c r="H133" s="41">
        <f t="shared" ca="1" si="25"/>
        <v>451.62033835333347</v>
      </c>
      <c r="I133" s="84">
        <f t="shared" si="21"/>
        <v>68</v>
      </c>
      <c r="J133" s="50"/>
      <c r="K133" s="24">
        <f t="shared" si="18"/>
        <v>0</v>
      </c>
      <c r="L133" s="62">
        <f t="shared" ca="1" si="19"/>
        <v>20089</v>
      </c>
      <c r="M133" s="3">
        <f>SUM($J$21:J133)</f>
        <v>0</v>
      </c>
      <c r="N133" s="3">
        <f>COUNT($B$21:B133)</f>
        <v>113</v>
      </c>
      <c r="O133" s="3">
        <f t="shared" si="22"/>
        <v>113</v>
      </c>
      <c r="P133" s="10"/>
    </row>
    <row r="134" spans="1:16" s="3" customFormat="1" x14ac:dyDescent="0.35">
      <c r="A134" s="55">
        <f t="shared" ca="1" si="24"/>
        <v>49319</v>
      </c>
      <c r="B134" s="39">
        <v>114</v>
      </c>
      <c r="C134" s="40">
        <f t="shared" ca="1" si="26"/>
        <v>9025.075628709812</v>
      </c>
      <c r="D134" s="24">
        <f t="shared" ca="1" si="27"/>
        <v>7497.7551376973815</v>
      </c>
      <c r="E134" s="24">
        <f t="shared" ca="1" si="23"/>
        <v>1199.6408220315811</v>
      </c>
      <c r="F134" s="24">
        <f t="shared" ca="1" si="28"/>
        <v>2601.4611106028847</v>
      </c>
      <c r="G134" s="132">
        <f t="shared" ca="1" si="20"/>
        <v>2499251.7125657937</v>
      </c>
      <c r="H134" s="41">
        <f t="shared" ca="1" si="25"/>
        <v>467.42705019570019</v>
      </c>
      <c r="I134" s="84">
        <f t="shared" si="21"/>
        <v>67</v>
      </c>
      <c r="J134" s="50"/>
      <c r="K134" s="24">
        <f t="shared" si="18"/>
        <v>0</v>
      </c>
      <c r="L134" s="62">
        <f t="shared" ca="1" si="19"/>
        <v>20792</v>
      </c>
      <c r="M134" s="3">
        <f>SUM($J$21:J134)</f>
        <v>0</v>
      </c>
      <c r="N134" s="3">
        <f>COUNT($B$21:B134)</f>
        <v>114</v>
      </c>
      <c r="O134" s="3">
        <f t="shared" si="22"/>
        <v>114</v>
      </c>
      <c r="P134" s="10"/>
    </row>
    <row r="135" spans="1:16" s="3" customFormat="1" x14ac:dyDescent="0.35">
      <c r="A135" s="55">
        <f t="shared" ca="1" si="24"/>
        <v>49350</v>
      </c>
      <c r="B135" s="39">
        <v>115</v>
      </c>
      <c r="C135" s="40">
        <f t="shared" ca="1" si="26"/>
        <v>9025.075628709812</v>
      </c>
      <c r="D135" s="24">
        <f t="shared" ca="1" si="27"/>
        <v>7497.7551376973815</v>
      </c>
      <c r="E135" s="24">
        <f t="shared" ca="1" si="23"/>
        <v>1199.6408220315811</v>
      </c>
      <c r="F135" s="24">
        <f t="shared" ca="1" si="28"/>
        <v>2601.4611106028847</v>
      </c>
      <c r="G135" s="132">
        <f t="shared" ca="1" si="20"/>
        <v>2499251.7125657937</v>
      </c>
      <c r="H135" s="41">
        <f t="shared" ca="1" si="25"/>
        <v>467.42705019570019</v>
      </c>
      <c r="I135" s="84">
        <f t="shared" si="21"/>
        <v>66</v>
      </c>
      <c r="J135" s="50"/>
      <c r="K135" s="24">
        <f t="shared" si="18"/>
        <v>0</v>
      </c>
      <c r="L135" s="62">
        <f t="shared" ca="1" si="19"/>
        <v>20792</v>
      </c>
      <c r="M135" s="3">
        <f>SUM($J$21:J135)</f>
        <v>0</v>
      </c>
      <c r="N135" s="3">
        <f>COUNT($B$21:B135)</f>
        <v>115</v>
      </c>
      <c r="O135" s="3">
        <f t="shared" si="22"/>
        <v>115</v>
      </c>
      <c r="P135" s="10"/>
    </row>
    <row r="136" spans="1:16" s="3" customFormat="1" x14ac:dyDescent="0.35">
      <c r="A136" s="55">
        <f t="shared" ca="1" si="24"/>
        <v>49378</v>
      </c>
      <c r="B136" s="39">
        <v>116</v>
      </c>
      <c r="C136" s="40">
        <f t="shared" ca="1" si="26"/>
        <v>9025.075628709812</v>
      </c>
      <c r="D136" s="24">
        <f t="shared" ca="1" si="27"/>
        <v>7497.7551376973815</v>
      </c>
      <c r="E136" s="24">
        <f t="shared" ca="1" si="23"/>
        <v>1199.6408220315811</v>
      </c>
      <c r="F136" s="24">
        <f t="shared" ca="1" si="28"/>
        <v>2601.4611106028847</v>
      </c>
      <c r="G136" s="132">
        <f t="shared" ca="1" si="20"/>
        <v>2499251.7125657937</v>
      </c>
      <c r="H136" s="41">
        <f t="shared" ca="1" si="25"/>
        <v>467.42705019570019</v>
      </c>
      <c r="I136" s="84">
        <f t="shared" si="21"/>
        <v>65</v>
      </c>
      <c r="J136" s="50"/>
      <c r="K136" s="24">
        <f t="shared" si="18"/>
        <v>0</v>
      </c>
      <c r="L136" s="62">
        <f t="shared" ca="1" si="19"/>
        <v>20792</v>
      </c>
      <c r="M136" s="3">
        <f>SUM($J$21:J136)</f>
        <v>0</v>
      </c>
      <c r="N136" s="3">
        <f>COUNT($B$21:B136)</f>
        <v>116</v>
      </c>
      <c r="O136" s="3">
        <f t="shared" si="22"/>
        <v>116</v>
      </c>
      <c r="P136" s="10"/>
    </row>
    <row r="137" spans="1:16" s="3" customFormat="1" x14ac:dyDescent="0.35">
      <c r="A137" s="55">
        <f t="shared" ca="1" si="24"/>
        <v>49409</v>
      </c>
      <c r="B137" s="39">
        <v>117</v>
      </c>
      <c r="C137" s="40">
        <f t="shared" ca="1" si="26"/>
        <v>9025.075628709812</v>
      </c>
      <c r="D137" s="24">
        <f t="shared" ca="1" si="27"/>
        <v>7497.7551376973815</v>
      </c>
      <c r="E137" s="24">
        <f t="shared" ca="1" si="23"/>
        <v>1199.6408220315811</v>
      </c>
      <c r="F137" s="24">
        <f t="shared" ca="1" si="28"/>
        <v>2601.4611106028847</v>
      </c>
      <c r="G137" s="132">
        <f t="shared" ca="1" si="20"/>
        <v>2499251.7125657937</v>
      </c>
      <c r="H137" s="41">
        <f t="shared" ca="1" si="25"/>
        <v>467.42705019570019</v>
      </c>
      <c r="I137" s="84">
        <f t="shared" si="21"/>
        <v>64</v>
      </c>
      <c r="J137" s="50"/>
      <c r="K137" s="24">
        <f t="shared" si="18"/>
        <v>0</v>
      </c>
      <c r="L137" s="62">
        <f t="shared" ca="1" si="19"/>
        <v>20792</v>
      </c>
      <c r="M137" s="3">
        <f>SUM($J$21:J137)</f>
        <v>0</v>
      </c>
      <c r="N137" s="3">
        <f>COUNT($B$21:B137)</f>
        <v>117</v>
      </c>
      <c r="O137" s="3">
        <f t="shared" si="22"/>
        <v>117</v>
      </c>
      <c r="P137" s="10"/>
    </row>
    <row r="138" spans="1:16" s="3" customFormat="1" x14ac:dyDescent="0.35">
      <c r="A138" s="55">
        <f t="shared" ca="1" si="24"/>
        <v>49439</v>
      </c>
      <c r="B138" s="39">
        <v>118</v>
      </c>
      <c r="C138" s="40">
        <f t="shared" ca="1" si="26"/>
        <v>9025.075628709812</v>
      </c>
      <c r="D138" s="24">
        <f t="shared" ca="1" si="27"/>
        <v>7497.7551376973815</v>
      </c>
      <c r="E138" s="24">
        <f t="shared" ca="1" si="23"/>
        <v>1199.6408220315811</v>
      </c>
      <c r="F138" s="24">
        <f t="shared" ca="1" si="28"/>
        <v>2601.4611106028847</v>
      </c>
      <c r="G138" s="132">
        <f t="shared" ca="1" si="20"/>
        <v>2499251.7125657937</v>
      </c>
      <c r="H138" s="41">
        <f t="shared" ca="1" si="25"/>
        <v>467.42705019570019</v>
      </c>
      <c r="I138" s="84">
        <f t="shared" si="21"/>
        <v>63</v>
      </c>
      <c r="J138" s="50"/>
      <c r="K138" s="24">
        <f t="shared" si="18"/>
        <v>0</v>
      </c>
      <c r="L138" s="62">
        <f t="shared" ca="1" si="19"/>
        <v>20792</v>
      </c>
      <c r="M138" s="3">
        <f>SUM($J$21:J138)</f>
        <v>0</v>
      </c>
      <c r="N138" s="3">
        <f>COUNT($B$21:B138)</f>
        <v>118</v>
      </c>
      <c r="O138" s="3">
        <f t="shared" si="22"/>
        <v>118</v>
      </c>
      <c r="P138" s="10"/>
    </row>
    <row r="139" spans="1:16" s="3" customFormat="1" x14ac:dyDescent="0.35">
      <c r="A139" s="55">
        <f t="shared" ca="1" si="24"/>
        <v>49470</v>
      </c>
      <c r="B139" s="39">
        <v>119</v>
      </c>
      <c r="C139" s="40">
        <f t="shared" ca="1" si="26"/>
        <v>9025.075628709812</v>
      </c>
      <c r="D139" s="24">
        <f t="shared" ca="1" si="27"/>
        <v>7497.7551376973815</v>
      </c>
      <c r="E139" s="24">
        <f t="shared" ca="1" si="23"/>
        <v>1199.6408220315811</v>
      </c>
      <c r="F139" s="24">
        <f t="shared" ca="1" si="28"/>
        <v>2601.4611106028847</v>
      </c>
      <c r="G139" s="132">
        <f t="shared" ca="1" si="20"/>
        <v>2499251.7125657937</v>
      </c>
      <c r="H139" s="41">
        <f t="shared" ca="1" si="25"/>
        <v>467.42705019570019</v>
      </c>
      <c r="I139" s="84">
        <f t="shared" si="21"/>
        <v>62</v>
      </c>
      <c r="J139" s="50"/>
      <c r="K139" s="24">
        <f t="shared" si="18"/>
        <v>0</v>
      </c>
      <c r="L139" s="62">
        <f t="shared" ca="1" si="19"/>
        <v>20792</v>
      </c>
      <c r="M139" s="3">
        <f>SUM($J$21:J139)</f>
        <v>0</v>
      </c>
      <c r="N139" s="3">
        <f>COUNT($B$21:B139)</f>
        <v>119</v>
      </c>
      <c r="O139" s="3">
        <f t="shared" si="22"/>
        <v>119</v>
      </c>
      <c r="P139" s="10"/>
    </row>
    <row r="140" spans="1:16" s="3" customFormat="1" x14ac:dyDescent="0.35">
      <c r="A140" s="55">
        <f t="shared" ca="1" si="24"/>
        <v>49500</v>
      </c>
      <c r="B140" s="39">
        <v>120</v>
      </c>
      <c r="C140" s="40">
        <f t="shared" ca="1" si="26"/>
        <v>9340.9532757146535</v>
      </c>
      <c r="D140" s="24">
        <f t="shared" ca="1" si="27"/>
        <v>7760.176567516789</v>
      </c>
      <c r="E140" s="24">
        <f t="shared" ca="1" si="23"/>
        <v>1241.6282508026864</v>
      </c>
      <c r="F140" s="24">
        <f t="shared" ca="1" si="28"/>
        <v>2692.5122494739849</v>
      </c>
      <c r="G140" s="132">
        <f t="shared" ca="1" si="20"/>
        <v>2586725.5225055963</v>
      </c>
      <c r="H140" s="41">
        <f t="shared" ca="1" si="25"/>
        <v>483.78699695254966</v>
      </c>
      <c r="I140" s="84">
        <f t="shared" si="21"/>
        <v>61</v>
      </c>
      <c r="J140" s="50"/>
      <c r="K140" s="24">
        <f t="shared" si="18"/>
        <v>0</v>
      </c>
      <c r="L140" s="62">
        <f t="shared" ca="1" si="19"/>
        <v>21520</v>
      </c>
      <c r="M140" s="3">
        <f>SUM($J$21:J140)</f>
        <v>0</v>
      </c>
      <c r="N140" s="3">
        <f>COUNT($B$21:B140)</f>
        <v>120</v>
      </c>
      <c r="O140" s="3">
        <f t="shared" si="22"/>
        <v>120</v>
      </c>
      <c r="P140" s="10"/>
    </row>
    <row r="141" spans="1:16" s="3" customFormat="1" x14ac:dyDescent="0.35">
      <c r="A141" s="55">
        <f t="shared" ca="1" si="24"/>
        <v>49531</v>
      </c>
      <c r="B141" s="39">
        <v>121</v>
      </c>
      <c r="C141" s="40">
        <f t="shared" ca="1" si="26"/>
        <v>9340.9532757146535</v>
      </c>
      <c r="D141" s="24">
        <f t="shared" ca="1" si="27"/>
        <v>7760.176567516789</v>
      </c>
      <c r="E141" s="24">
        <f t="shared" ca="1" si="23"/>
        <v>1241.6282508026864</v>
      </c>
      <c r="F141" s="24">
        <f t="shared" ca="1" si="28"/>
        <v>2692.5122494739849</v>
      </c>
      <c r="G141" s="132">
        <f t="shared" ca="1" si="20"/>
        <v>2586725.5225055963</v>
      </c>
      <c r="H141" s="41">
        <f t="shared" ca="1" si="25"/>
        <v>483.78699695254966</v>
      </c>
      <c r="I141" s="84">
        <f t="shared" si="21"/>
        <v>60</v>
      </c>
      <c r="J141" s="50"/>
      <c r="K141" s="24">
        <f t="shared" si="18"/>
        <v>0</v>
      </c>
      <c r="L141" s="62">
        <f t="shared" ca="1" si="19"/>
        <v>21520</v>
      </c>
      <c r="M141" s="3">
        <f>SUM($J$21:J141)</f>
        <v>0</v>
      </c>
      <c r="N141" s="3">
        <f>COUNT($B$21:B141)</f>
        <v>121</v>
      </c>
      <c r="O141" s="3">
        <f t="shared" si="22"/>
        <v>121</v>
      </c>
      <c r="P141" s="10"/>
    </row>
    <row r="142" spans="1:16" s="3" customFormat="1" x14ac:dyDescent="0.35">
      <c r="A142" s="55">
        <f t="shared" ca="1" si="24"/>
        <v>49562</v>
      </c>
      <c r="B142" s="39">
        <v>122</v>
      </c>
      <c r="C142" s="40">
        <f t="shared" ca="1" si="26"/>
        <v>9340.9532757146535</v>
      </c>
      <c r="D142" s="24">
        <f t="shared" ca="1" si="27"/>
        <v>7760.176567516789</v>
      </c>
      <c r="E142" s="24">
        <f t="shared" ca="1" si="23"/>
        <v>1241.6282508026864</v>
      </c>
      <c r="F142" s="24">
        <f t="shared" ca="1" si="28"/>
        <v>2692.5122494739849</v>
      </c>
      <c r="G142" s="132">
        <f t="shared" ca="1" si="20"/>
        <v>2586725.5225055963</v>
      </c>
      <c r="H142" s="41">
        <f t="shared" ca="1" si="25"/>
        <v>483.78699695254966</v>
      </c>
      <c r="I142" s="84">
        <f t="shared" si="21"/>
        <v>59</v>
      </c>
      <c r="J142" s="50"/>
      <c r="K142" s="24">
        <f t="shared" si="18"/>
        <v>0</v>
      </c>
      <c r="L142" s="62">
        <f t="shared" ca="1" si="19"/>
        <v>21520</v>
      </c>
      <c r="M142" s="3">
        <f>SUM($J$21:J142)</f>
        <v>0</v>
      </c>
      <c r="N142" s="3">
        <f>COUNT($B$21:B142)</f>
        <v>122</v>
      </c>
      <c r="O142" s="3">
        <f t="shared" si="22"/>
        <v>122</v>
      </c>
      <c r="P142" s="10"/>
    </row>
    <row r="143" spans="1:16" s="3" customFormat="1" x14ac:dyDescent="0.35">
      <c r="A143" s="55">
        <f t="shared" ca="1" si="24"/>
        <v>49592</v>
      </c>
      <c r="B143" s="39">
        <v>123</v>
      </c>
      <c r="C143" s="40">
        <f t="shared" ca="1" si="26"/>
        <v>9340.9532757146535</v>
      </c>
      <c r="D143" s="24">
        <f t="shared" ca="1" si="27"/>
        <v>7760.176567516789</v>
      </c>
      <c r="E143" s="24">
        <f t="shared" ca="1" si="23"/>
        <v>1241.6282508026864</v>
      </c>
      <c r="F143" s="24">
        <f t="shared" ca="1" si="28"/>
        <v>2692.5122494739849</v>
      </c>
      <c r="G143" s="132">
        <f t="shared" ca="1" si="20"/>
        <v>2586725.5225055963</v>
      </c>
      <c r="H143" s="41">
        <f t="shared" ca="1" si="25"/>
        <v>483.78699695254966</v>
      </c>
      <c r="I143" s="84">
        <f t="shared" si="21"/>
        <v>58</v>
      </c>
      <c r="J143" s="50"/>
      <c r="K143" s="24">
        <f t="shared" si="18"/>
        <v>0</v>
      </c>
      <c r="L143" s="62">
        <f t="shared" ca="1" si="19"/>
        <v>21520</v>
      </c>
      <c r="M143" s="3">
        <f>SUM($J$21:J143)</f>
        <v>0</v>
      </c>
      <c r="N143" s="3">
        <f>COUNT($B$21:B143)</f>
        <v>123</v>
      </c>
      <c r="O143" s="3">
        <f t="shared" si="22"/>
        <v>123</v>
      </c>
      <c r="P143" s="10"/>
    </row>
    <row r="144" spans="1:16" s="3" customFormat="1" x14ac:dyDescent="0.35">
      <c r="A144" s="55">
        <f t="shared" ca="1" si="24"/>
        <v>49623</v>
      </c>
      <c r="B144" s="39">
        <v>124</v>
      </c>
      <c r="C144" s="40">
        <f t="shared" ca="1" si="26"/>
        <v>9340.9532757146535</v>
      </c>
      <c r="D144" s="24">
        <f t="shared" ca="1" si="27"/>
        <v>7760.176567516789</v>
      </c>
      <c r="E144" s="24">
        <f t="shared" ca="1" si="23"/>
        <v>1241.6282508026864</v>
      </c>
      <c r="F144" s="24">
        <f t="shared" ca="1" si="28"/>
        <v>2692.5122494739849</v>
      </c>
      <c r="G144" s="132">
        <f t="shared" ca="1" si="20"/>
        <v>2586725.5225055963</v>
      </c>
      <c r="H144" s="41">
        <f t="shared" ca="1" si="25"/>
        <v>483.78699695254966</v>
      </c>
      <c r="I144" s="84">
        <f t="shared" si="21"/>
        <v>57</v>
      </c>
      <c r="J144" s="50"/>
      <c r="K144" s="24">
        <f t="shared" si="18"/>
        <v>0</v>
      </c>
      <c r="L144" s="62">
        <f t="shared" ca="1" si="19"/>
        <v>21520</v>
      </c>
      <c r="M144" s="3">
        <f>SUM($J$21:J144)</f>
        <v>0</v>
      </c>
      <c r="N144" s="3">
        <f>COUNT($B$21:B144)</f>
        <v>124</v>
      </c>
      <c r="O144" s="3">
        <f t="shared" si="22"/>
        <v>124</v>
      </c>
      <c r="P144" s="10"/>
    </row>
    <row r="145" spans="1:16" s="3" customFormat="1" x14ac:dyDescent="0.35">
      <c r="A145" s="55">
        <f t="shared" ca="1" si="24"/>
        <v>49653</v>
      </c>
      <c r="B145" s="39">
        <v>125</v>
      </c>
      <c r="C145" s="40">
        <f t="shared" ca="1" si="26"/>
        <v>9340.9532757146535</v>
      </c>
      <c r="D145" s="24">
        <f t="shared" ca="1" si="27"/>
        <v>7760.176567516789</v>
      </c>
      <c r="E145" s="24">
        <f t="shared" ca="1" si="23"/>
        <v>1241.6282508026864</v>
      </c>
      <c r="F145" s="24">
        <f t="shared" ca="1" si="28"/>
        <v>2692.5122494739849</v>
      </c>
      <c r="G145" s="132">
        <f t="shared" ca="1" si="20"/>
        <v>2586725.5225055963</v>
      </c>
      <c r="H145" s="41">
        <f t="shared" ca="1" si="25"/>
        <v>483.78699695254966</v>
      </c>
      <c r="I145" s="84">
        <f t="shared" si="21"/>
        <v>56</v>
      </c>
      <c r="J145" s="50"/>
      <c r="K145" s="24">
        <f t="shared" si="18"/>
        <v>0</v>
      </c>
      <c r="L145" s="62">
        <f t="shared" ca="1" si="19"/>
        <v>21520</v>
      </c>
      <c r="M145" s="3">
        <f>SUM($J$21:J145)</f>
        <v>0</v>
      </c>
      <c r="N145" s="3">
        <f>COUNT($B$21:B145)</f>
        <v>125</v>
      </c>
      <c r="O145" s="3">
        <f t="shared" si="22"/>
        <v>125</v>
      </c>
      <c r="P145" s="10"/>
    </row>
    <row r="146" spans="1:16" s="3" customFormat="1" x14ac:dyDescent="0.35">
      <c r="A146" s="55">
        <f t="shared" ca="1" si="24"/>
        <v>49684</v>
      </c>
      <c r="B146" s="39">
        <v>126</v>
      </c>
      <c r="C146" s="40">
        <f t="shared" ca="1" si="26"/>
        <v>9667.8866403646643</v>
      </c>
      <c r="D146" s="24">
        <f t="shared" ca="1" si="27"/>
        <v>8031.7827473798752</v>
      </c>
      <c r="E146" s="24">
        <f t="shared" ca="1" si="23"/>
        <v>1285.0852395807801</v>
      </c>
      <c r="F146" s="24">
        <f t="shared" ca="1" si="28"/>
        <v>2786.7501782055742</v>
      </c>
      <c r="G146" s="132">
        <f t="shared" ca="1" si="20"/>
        <v>2677260.9157932918</v>
      </c>
      <c r="H146" s="41">
        <f t="shared" ca="1" si="25"/>
        <v>500.71954184588878</v>
      </c>
      <c r="I146" s="84">
        <f t="shared" si="21"/>
        <v>55</v>
      </c>
      <c r="J146" s="50"/>
      <c r="K146" s="24">
        <f t="shared" si="18"/>
        <v>0</v>
      </c>
      <c r="L146" s="62">
        <f t="shared" ca="1" si="19"/>
        <v>22273</v>
      </c>
      <c r="M146" s="3">
        <f>SUM($J$21:J146)</f>
        <v>0</v>
      </c>
      <c r="N146" s="3">
        <f>COUNT($B$21:B146)</f>
        <v>126</v>
      </c>
      <c r="O146" s="3">
        <f t="shared" si="22"/>
        <v>126</v>
      </c>
      <c r="P146" s="10"/>
    </row>
    <row r="147" spans="1:16" s="3" customFormat="1" x14ac:dyDescent="0.35">
      <c r="A147" s="55">
        <f t="shared" ca="1" si="24"/>
        <v>49715</v>
      </c>
      <c r="B147" s="39">
        <v>127</v>
      </c>
      <c r="C147" s="40">
        <f t="shared" ca="1" si="26"/>
        <v>9667.8866403646643</v>
      </c>
      <c r="D147" s="24">
        <f t="shared" ca="1" si="27"/>
        <v>8031.7827473798752</v>
      </c>
      <c r="E147" s="24">
        <f t="shared" ca="1" si="23"/>
        <v>1285.0852395807801</v>
      </c>
      <c r="F147" s="24">
        <f t="shared" ca="1" si="28"/>
        <v>2786.7501782055742</v>
      </c>
      <c r="G147" s="132">
        <f t="shared" ca="1" si="20"/>
        <v>2677260.9157932918</v>
      </c>
      <c r="H147" s="41">
        <f t="shared" ca="1" si="25"/>
        <v>500.71954184588878</v>
      </c>
      <c r="I147" s="84">
        <f t="shared" si="21"/>
        <v>54</v>
      </c>
      <c r="J147" s="50"/>
      <c r="K147" s="24">
        <f t="shared" si="18"/>
        <v>0</v>
      </c>
      <c r="L147" s="62">
        <f t="shared" ca="1" si="19"/>
        <v>22273</v>
      </c>
      <c r="M147" s="3">
        <f>SUM($J$21:J147)</f>
        <v>0</v>
      </c>
      <c r="N147" s="3">
        <f>COUNT($B$21:B147)</f>
        <v>127</v>
      </c>
      <c r="O147" s="3">
        <f t="shared" si="22"/>
        <v>127</v>
      </c>
      <c r="P147" s="10"/>
    </row>
    <row r="148" spans="1:16" s="3" customFormat="1" x14ac:dyDescent="0.35">
      <c r="A148" s="55">
        <f t="shared" ca="1" si="24"/>
        <v>49744</v>
      </c>
      <c r="B148" s="39">
        <v>128</v>
      </c>
      <c r="C148" s="40">
        <f t="shared" ca="1" si="26"/>
        <v>9667.8866403646643</v>
      </c>
      <c r="D148" s="24">
        <f t="shared" ca="1" si="27"/>
        <v>8031.7827473798752</v>
      </c>
      <c r="E148" s="24">
        <f t="shared" ca="1" si="23"/>
        <v>1285.0852395807801</v>
      </c>
      <c r="F148" s="24">
        <f t="shared" ca="1" si="28"/>
        <v>2786.7501782055742</v>
      </c>
      <c r="G148" s="132">
        <f t="shared" ca="1" si="20"/>
        <v>2677260.9157932918</v>
      </c>
      <c r="H148" s="41">
        <f t="shared" ca="1" si="25"/>
        <v>500.71954184588878</v>
      </c>
      <c r="I148" s="84">
        <f t="shared" si="21"/>
        <v>53</v>
      </c>
      <c r="J148" s="50"/>
      <c r="K148" s="24">
        <f t="shared" si="18"/>
        <v>0</v>
      </c>
      <c r="L148" s="62">
        <f t="shared" ca="1" si="19"/>
        <v>22273</v>
      </c>
      <c r="M148" s="3">
        <f>SUM($J$21:J148)</f>
        <v>0</v>
      </c>
      <c r="N148" s="3">
        <f>COUNT($B$21:B148)</f>
        <v>128</v>
      </c>
      <c r="O148" s="3">
        <f t="shared" si="22"/>
        <v>128</v>
      </c>
      <c r="P148" s="10"/>
    </row>
    <row r="149" spans="1:16" s="3" customFormat="1" x14ac:dyDescent="0.35">
      <c r="A149" s="55">
        <f t="shared" ca="1" si="24"/>
        <v>49775</v>
      </c>
      <c r="B149" s="39">
        <v>129</v>
      </c>
      <c r="C149" s="40">
        <f t="shared" ca="1" si="26"/>
        <v>9667.8866403646643</v>
      </c>
      <c r="D149" s="24">
        <f t="shared" ca="1" si="27"/>
        <v>8031.7827473798752</v>
      </c>
      <c r="E149" s="24">
        <f t="shared" ca="1" si="23"/>
        <v>1285.0852395807801</v>
      </c>
      <c r="F149" s="24">
        <f t="shared" ca="1" si="28"/>
        <v>2786.7501782055742</v>
      </c>
      <c r="G149" s="132">
        <f t="shared" ca="1" si="20"/>
        <v>2677260.9157932918</v>
      </c>
      <c r="H149" s="41">
        <f t="shared" ca="1" si="25"/>
        <v>500.71954184588878</v>
      </c>
      <c r="I149" s="84">
        <f t="shared" si="21"/>
        <v>52</v>
      </c>
      <c r="J149" s="50"/>
      <c r="K149" s="24">
        <f t="shared" si="18"/>
        <v>0</v>
      </c>
      <c r="L149" s="62">
        <f t="shared" ca="1" si="19"/>
        <v>22273</v>
      </c>
      <c r="M149" s="3">
        <f>SUM($J$21:J149)</f>
        <v>0</v>
      </c>
      <c r="N149" s="3">
        <f>COUNT($B$21:B149)</f>
        <v>129</v>
      </c>
      <c r="O149" s="3">
        <f t="shared" si="22"/>
        <v>129</v>
      </c>
      <c r="P149" s="10"/>
    </row>
    <row r="150" spans="1:16" s="3" customFormat="1" x14ac:dyDescent="0.35">
      <c r="A150" s="55">
        <f t="shared" ca="1" si="24"/>
        <v>49805</v>
      </c>
      <c r="B150" s="39">
        <v>130</v>
      </c>
      <c r="C150" s="40">
        <f t="shared" ref="C150:C181" ca="1" si="29">IF(O149&gt;179,0,(G150*$L$2)/$D$9)</f>
        <v>9667.8866403646643</v>
      </c>
      <c r="D150" s="24">
        <f t="shared" ref="D150:D181" ca="1" si="30">IF(O149&gt;179,0,(G150*$D$3))</f>
        <v>8031.7827473798752</v>
      </c>
      <c r="E150" s="24">
        <f t="shared" ca="1" si="23"/>
        <v>1285.0852395807801</v>
      </c>
      <c r="F150" s="24">
        <f t="shared" ref="F150:F181" ca="1" si="31">IF(O149&gt;179,0,((G150/$D$9)+D150+E150)*($D$9)*(0.064%))</f>
        <v>2786.7501782055742</v>
      </c>
      <c r="G150" s="132">
        <f t="shared" ca="1" si="20"/>
        <v>2677260.9157932918</v>
      </c>
      <c r="H150" s="41">
        <f t="shared" ca="1" si="25"/>
        <v>500.71954184588878</v>
      </c>
      <c r="I150" s="84">
        <f t="shared" si="21"/>
        <v>51</v>
      </c>
      <c r="J150" s="50"/>
      <c r="K150" s="24">
        <f t="shared" ref="K150:K200" si="32">IF(J150=0,0,+C150+((D150*0.75)*1.16))*J150</f>
        <v>0</v>
      </c>
      <c r="L150" s="62">
        <f t="shared" ref="L150:L200" ca="1" si="33">ROUNDUP(C150+D150+E150+F150+H150+K150,0)</f>
        <v>22273</v>
      </c>
      <c r="M150" s="3">
        <f>SUM($J$21:J150)</f>
        <v>0</v>
      </c>
      <c r="N150" s="3">
        <f>COUNT($B$21:B150)</f>
        <v>130</v>
      </c>
      <c r="O150" s="3">
        <f t="shared" si="22"/>
        <v>130</v>
      </c>
      <c r="P150" s="10"/>
    </row>
    <row r="151" spans="1:16" s="3" customFormat="1" x14ac:dyDescent="0.35">
      <c r="A151" s="55">
        <f t="shared" ca="1" si="24"/>
        <v>49836</v>
      </c>
      <c r="B151" s="39">
        <v>131</v>
      </c>
      <c r="C151" s="40">
        <f t="shared" ca="1" si="29"/>
        <v>9667.8866403646643</v>
      </c>
      <c r="D151" s="24">
        <f t="shared" ca="1" si="30"/>
        <v>8031.7827473798752</v>
      </c>
      <c r="E151" s="24">
        <f t="shared" ca="1" si="23"/>
        <v>1285.0852395807801</v>
      </c>
      <c r="F151" s="24">
        <f t="shared" ca="1" si="31"/>
        <v>2786.7501782055742</v>
      </c>
      <c r="G151" s="132">
        <f t="shared" ref="G151:G200" ca="1" si="34">IF(O150&gt;179,0,IF(MONTH(A151)=7,G150*1.035,(IF(MONTH(A151)=1,G150*1.035,G150))))</f>
        <v>2677260.9157932918</v>
      </c>
      <c r="H151" s="41">
        <f t="shared" ca="1" si="25"/>
        <v>500.71954184588878</v>
      </c>
      <c r="I151" s="84">
        <f t="shared" ref="I151:I200" si="35">IF(O151&gt;179,0,(180-N151+1)-(SUM($J$21:$J$200)))</f>
        <v>50</v>
      </c>
      <c r="J151" s="50"/>
      <c r="K151" s="24">
        <f t="shared" si="32"/>
        <v>0</v>
      </c>
      <c r="L151" s="62">
        <f t="shared" ca="1" si="33"/>
        <v>22273</v>
      </c>
      <c r="M151" s="3">
        <f>SUM($J$21:J151)</f>
        <v>0</v>
      </c>
      <c r="N151" s="3">
        <f>COUNT($B$21:B151)</f>
        <v>131</v>
      </c>
      <c r="O151" s="3">
        <f t="shared" ref="O151:O200" si="36">+M151+N151</f>
        <v>131</v>
      </c>
      <c r="P151" s="10"/>
    </row>
    <row r="152" spans="1:16" s="3" customFormat="1" x14ac:dyDescent="0.35">
      <c r="A152" s="55">
        <f t="shared" ca="1" si="24"/>
        <v>49866</v>
      </c>
      <c r="B152" s="39">
        <v>132</v>
      </c>
      <c r="C152" s="40">
        <f t="shared" ca="1" si="29"/>
        <v>10006.26267277743</v>
      </c>
      <c r="D152" s="24">
        <f t="shared" ca="1" si="30"/>
        <v>8312.8951435381714</v>
      </c>
      <c r="E152" s="24">
        <f t="shared" ref="E152:E200" ca="1" si="37">D152*16%</f>
        <v>1330.0632229661076</v>
      </c>
      <c r="F152" s="24">
        <f t="shared" ca="1" si="31"/>
        <v>2884.2864344427694</v>
      </c>
      <c r="G152" s="132">
        <f t="shared" ca="1" si="34"/>
        <v>2770965.047846057</v>
      </c>
      <c r="H152" s="41">
        <f t="shared" ca="1" si="25"/>
        <v>518.24472581049497</v>
      </c>
      <c r="I152" s="84">
        <f t="shared" si="35"/>
        <v>49</v>
      </c>
      <c r="J152" s="50"/>
      <c r="K152" s="24">
        <f t="shared" si="32"/>
        <v>0</v>
      </c>
      <c r="L152" s="62">
        <f t="shared" ca="1" si="33"/>
        <v>23052</v>
      </c>
      <c r="M152" s="3">
        <f>SUM($J$21:J152)</f>
        <v>0</v>
      </c>
      <c r="N152" s="3">
        <f>COUNT($B$21:B152)</f>
        <v>132</v>
      </c>
      <c r="O152" s="3">
        <f t="shared" si="36"/>
        <v>132</v>
      </c>
      <c r="P152" s="10"/>
    </row>
    <row r="153" spans="1:16" s="3" customFormat="1" x14ac:dyDescent="0.35">
      <c r="A153" s="55">
        <f t="shared" ref="A153:A200" ca="1" si="38">EDATE(A152,1)</f>
        <v>49897</v>
      </c>
      <c r="B153" s="39">
        <v>133</v>
      </c>
      <c r="C153" s="40">
        <f t="shared" ca="1" si="29"/>
        <v>10006.26267277743</v>
      </c>
      <c r="D153" s="24">
        <f t="shared" ca="1" si="30"/>
        <v>8312.8951435381714</v>
      </c>
      <c r="E153" s="24">
        <f t="shared" ca="1" si="37"/>
        <v>1330.0632229661076</v>
      </c>
      <c r="F153" s="24">
        <f t="shared" ca="1" si="31"/>
        <v>2884.2864344427694</v>
      </c>
      <c r="G153" s="132">
        <f t="shared" ca="1" si="34"/>
        <v>2770965.047846057</v>
      </c>
      <c r="H153" s="41">
        <f t="shared" ref="H153:H200" ca="1" si="39">(G153*0.00016123)*1.16</f>
        <v>518.24472581049497</v>
      </c>
      <c r="I153" s="84">
        <f t="shared" si="35"/>
        <v>48</v>
      </c>
      <c r="J153" s="50"/>
      <c r="K153" s="24">
        <f t="shared" si="32"/>
        <v>0</v>
      </c>
      <c r="L153" s="62">
        <f t="shared" ca="1" si="33"/>
        <v>23052</v>
      </c>
      <c r="M153" s="3">
        <f>SUM($J$21:J153)</f>
        <v>0</v>
      </c>
      <c r="N153" s="3">
        <f>COUNT($B$21:B153)</f>
        <v>133</v>
      </c>
      <c r="O153" s="3">
        <f t="shared" si="36"/>
        <v>133</v>
      </c>
      <c r="P153" s="10"/>
    </row>
    <row r="154" spans="1:16" s="3" customFormat="1" x14ac:dyDescent="0.35">
      <c r="A154" s="55">
        <f t="shared" ca="1" si="38"/>
        <v>49928</v>
      </c>
      <c r="B154" s="39">
        <v>134</v>
      </c>
      <c r="C154" s="40">
        <f t="shared" ca="1" si="29"/>
        <v>10006.26267277743</v>
      </c>
      <c r="D154" s="24">
        <f t="shared" ca="1" si="30"/>
        <v>8312.8951435381714</v>
      </c>
      <c r="E154" s="24">
        <f t="shared" ca="1" si="37"/>
        <v>1330.0632229661076</v>
      </c>
      <c r="F154" s="24">
        <f t="shared" ca="1" si="31"/>
        <v>2884.2864344427694</v>
      </c>
      <c r="G154" s="132">
        <f t="shared" ca="1" si="34"/>
        <v>2770965.047846057</v>
      </c>
      <c r="H154" s="41">
        <f t="shared" ca="1" si="39"/>
        <v>518.24472581049497</v>
      </c>
      <c r="I154" s="84">
        <f t="shared" si="35"/>
        <v>47</v>
      </c>
      <c r="J154" s="50"/>
      <c r="K154" s="24">
        <f t="shared" si="32"/>
        <v>0</v>
      </c>
      <c r="L154" s="62">
        <f t="shared" ca="1" si="33"/>
        <v>23052</v>
      </c>
      <c r="M154" s="3">
        <f>SUM($J$21:J154)</f>
        <v>0</v>
      </c>
      <c r="N154" s="3">
        <f>COUNT($B$21:B154)</f>
        <v>134</v>
      </c>
      <c r="O154" s="3">
        <f t="shared" si="36"/>
        <v>134</v>
      </c>
      <c r="P154" s="10"/>
    </row>
    <row r="155" spans="1:16" s="3" customFormat="1" x14ac:dyDescent="0.35">
      <c r="A155" s="55">
        <f t="shared" ca="1" si="38"/>
        <v>49958</v>
      </c>
      <c r="B155" s="39">
        <v>135</v>
      </c>
      <c r="C155" s="40">
        <f t="shared" ca="1" si="29"/>
        <v>10006.26267277743</v>
      </c>
      <c r="D155" s="24">
        <f t="shared" ca="1" si="30"/>
        <v>8312.8951435381714</v>
      </c>
      <c r="E155" s="24">
        <f t="shared" ca="1" si="37"/>
        <v>1330.0632229661076</v>
      </c>
      <c r="F155" s="24">
        <f t="shared" ca="1" si="31"/>
        <v>2884.2864344427694</v>
      </c>
      <c r="G155" s="132">
        <f t="shared" ca="1" si="34"/>
        <v>2770965.047846057</v>
      </c>
      <c r="H155" s="41">
        <f t="shared" ca="1" si="39"/>
        <v>518.24472581049497</v>
      </c>
      <c r="I155" s="84">
        <f t="shared" si="35"/>
        <v>46</v>
      </c>
      <c r="J155" s="50"/>
      <c r="K155" s="24">
        <f t="shared" si="32"/>
        <v>0</v>
      </c>
      <c r="L155" s="62">
        <f t="shared" ca="1" si="33"/>
        <v>23052</v>
      </c>
      <c r="M155" s="3">
        <f>SUM($J$21:J155)</f>
        <v>0</v>
      </c>
      <c r="N155" s="3">
        <f>COUNT($B$21:B155)</f>
        <v>135</v>
      </c>
      <c r="O155" s="3">
        <f t="shared" si="36"/>
        <v>135</v>
      </c>
      <c r="P155" s="10"/>
    </row>
    <row r="156" spans="1:16" s="3" customFormat="1" x14ac:dyDescent="0.35">
      <c r="A156" s="55">
        <f t="shared" ca="1" si="38"/>
        <v>49989</v>
      </c>
      <c r="B156" s="39">
        <v>136</v>
      </c>
      <c r="C156" s="40">
        <f t="shared" ca="1" si="29"/>
        <v>10006.26267277743</v>
      </c>
      <c r="D156" s="24">
        <f t="shared" ca="1" si="30"/>
        <v>8312.8951435381714</v>
      </c>
      <c r="E156" s="24">
        <f t="shared" ca="1" si="37"/>
        <v>1330.0632229661076</v>
      </c>
      <c r="F156" s="24">
        <f t="shared" ca="1" si="31"/>
        <v>2884.2864344427694</v>
      </c>
      <c r="G156" s="132">
        <f t="shared" ca="1" si="34"/>
        <v>2770965.047846057</v>
      </c>
      <c r="H156" s="41">
        <f t="shared" ca="1" si="39"/>
        <v>518.24472581049497</v>
      </c>
      <c r="I156" s="84">
        <f t="shared" si="35"/>
        <v>45</v>
      </c>
      <c r="J156" s="50"/>
      <c r="K156" s="24">
        <f t="shared" si="32"/>
        <v>0</v>
      </c>
      <c r="L156" s="62">
        <f t="shared" ca="1" si="33"/>
        <v>23052</v>
      </c>
      <c r="M156" s="3">
        <f>SUM($J$21:J156)</f>
        <v>0</v>
      </c>
      <c r="N156" s="3">
        <f>COUNT($B$21:B156)</f>
        <v>136</v>
      </c>
      <c r="O156" s="3">
        <f t="shared" si="36"/>
        <v>136</v>
      </c>
      <c r="P156" s="10"/>
    </row>
    <row r="157" spans="1:16" s="3" customFormat="1" x14ac:dyDescent="0.35">
      <c r="A157" s="55">
        <f t="shared" ca="1" si="38"/>
        <v>50019</v>
      </c>
      <c r="B157" s="39">
        <v>137</v>
      </c>
      <c r="C157" s="40">
        <f t="shared" ca="1" si="29"/>
        <v>10006.26267277743</v>
      </c>
      <c r="D157" s="24">
        <f t="shared" ca="1" si="30"/>
        <v>8312.8951435381714</v>
      </c>
      <c r="E157" s="24">
        <f t="shared" ca="1" si="37"/>
        <v>1330.0632229661076</v>
      </c>
      <c r="F157" s="24">
        <f t="shared" ca="1" si="31"/>
        <v>2884.2864344427694</v>
      </c>
      <c r="G157" s="132">
        <f t="shared" ca="1" si="34"/>
        <v>2770965.047846057</v>
      </c>
      <c r="H157" s="41">
        <f t="shared" ca="1" si="39"/>
        <v>518.24472581049497</v>
      </c>
      <c r="I157" s="84">
        <f t="shared" si="35"/>
        <v>44</v>
      </c>
      <c r="J157" s="50"/>
      <c r="K157" s="24">
        <f t="shared" si="32"/>
        <v>0</v>
      </c>
      <c r="L157" s="62">
        <f t="shared" ca="1" si="33"/>
        <v>23052</v>
      </c>
      <c r="M157" s="3">
        <f>SUM($J$21:J157)</f>
        <v>0</v>
      </c>
      <c r="N157" s="3">
        <f>COUNT($B$21:B157)</f>
        <v>137</v>
      </c>
      <c r="O157" s="3">
        <f t="shared" si="36"/>
        <v>137</v>
      </c>
      <c r="P157" s="10"/>
    </row>
    <row r="158" spans="1:16" s="3" customFormat="1" x14ac:dyDescent="0.35">
      <c r="A158" s="55">
        <f t="shared" ca="1" si="38"/>
        <v>50050</v>
      </c>
      <c r="B158" s="39">
        <v>138</v>
      </c>
      <c r="C158" s="40">
        <f t="shared" ca="1" si="29"/>
        <v>10356.481866324639</v>
      </c>
      <c r="D158" s="24">
        <f t="shared" ca="1" si="30"/>
        <v>8603.8464735620073</v>
      </c>
      <c r="E158" s="24">
        <f t="shared" ca="1" si="37"/>
        <v>1376.6154357699213</v>
      </c>
      <c r="F158" s="24">
        <f t="shared" ca="1" si="31"/>
        <v>2985.2364596482666</v>
      </c>
      <c r="G158" s="132">
        <f t="shared" ca="1" si="34"/>
        <v>2867948.8245206689</v>
      </c>
      <c r="H158" s="41">
        <f t="shared" ca="1" si="39"/>
        <v>536.38329121386221</v>
      </c>
      <c r="I158" s="84">
        <f t="shared" si="35"/>
        <v>43</v>
      </c>
      <c r="J158" s="50"/>
      <c r="K158" s="24">
        <f t="shared" si="32"/>
        <v>0</v>
      </c>
      <c r="L158" s="62">
        <f t="shared" ca="1" si="33"/>
        <v>23859</v>
      </c>
      <c r="M158" s="3">
        <f>SUM($J$21:J158)</f>
        <v>0</v>
      </c>
      <c r="N158" s="3">
        <f>COUNT($B$21:B158)</f>
        <v>138</v>
      </c>
      <c r="O158" s="3">
        <f t="shared" si="36"/>
        <v>138</v>
      </c>
      <c r="P158" s="10"/>
    </row>
    <row r="159" spans="1:16" s="3" customFormat="1" x14ac:dyDescent="0.35">
      <c r="A159" s="55">
        <f t="shared" ca="1" si="38"/>
        <v>50081</v>
      </c>
      <c r="B159" s="39">
        <v>139</v>
      </c>
      <c r="C159" s="40">
        <f t="shared" ca="1" si="29"/>
        <v>10356.481866324639</v>
      </c>
      <c r="D159" s="24">
        <f t="shared" ca="1" si="30"/>
        <v>8603.8464735620073</v>
      </c>
      <c r="E159" s="24">
        <f t="shared" ca="1" si="37"/>
        <v>1376.6154357699213</v>
      </c>
      <c r="F159" s="24">
        <f t="shared" ca="1" si="31"/>
        <v>2985.2364596482666</v>
      </c>
      <c r="G159" s="132">
        <f t="shared" ca="1" si="34"/>
        <v>2867948.8245206689</v>
      </c>
      <c r="H159" s="41">
        <f t="shared" ca="1" si="39"/>
        <v>536.38329121386221</v>
      </c>
      <c r="I159" s="84">
        <f t="shared" si="35"/>
        <v>42</v>
      </c>
      <c r="J159" s="50"/>
      <c r="K159" s="24">
        <f t="shared" si="32"/>
        <v>0</v>
      </c>
      <c r="L159" s="62">
        <f t="shared" ca="1" si="33"/>
        <v>23859</v>
      </c>
      <c r="M159" s="3">
        <f>SUM($J$21:J159)</f>
        <v>0</v>
      </c>
      <c r="N159" s="3">
        <f>COUNT($B$21:B159)</f>
        <v>139</v>
      </c>
      <c r="O159" s="3">
        <f t="shared" si="36"/>
        <v>139</v>
      </c>
      <c r="P159" s="10"/>
    </row>
    <row r="160" spans="1:16" s="3" customFormat="1" x14ac:dyDescent="0.35">
      <c r="A160" s="55">
        <f t="shared" ca="1" si="38"/>
        <v>50109</v>
      </c>
      <c r="B160" s="39">
        <v>140</v>
      </c>
      <c r="C160" s="40">
        <f t="shared" ca="1" si="29"/>
        <v>10356.481866324639</v>
      </c>
      <c r="D160" s="24">
        <f t="shared" ca="1" si="30"/>
        <v>8603.8464735620073</v>
      </c>
      <c r="E160" s="24">
        <f t="shared" ca="1" si="37"/>
        <v>1376.6154357699213</v>
      </c>
      <c r="F160" s="24">
        <f t="shared" ca="1" si="31"/>
        <v>2985.2364596482666</v>
      </c>
      <c r="G160" s="132">
        <f t="shared" ca="1" si="34"/>
        <v>2867948.8245206689</v>
      </c>
      <c r="H160" s="41">
        <f t="shared" ca="1" si="39"/>
        <v>536.38329121386221</v>
      </c>
      <c r="I160" s="84">
        <f t="shared" si="35"/>
        <v>41</v>
      </c>
      <c r="J160" s="50"/>
      <c r="K160" s="24">
        <f t="shared" si="32"/>
        <v>0</v>
      </c>
      <c r="L160" s="62">
        <f t="shared" ca="1" si="33"/>
        <v>23859</v>
      </c>
      <c r="M160" s="3">
        <f>SUM($J$21:J160)</f>
        <v>0</v>
      </c>
      <c r="N160" s="3">
        <f>COUNT($B$21:B160)</f>
        <v>140</v>
      </c>
      <c r="O160" s="3">
        <f t="shared" si="36"/>
        <v>140</v>
      </c>
      <c r="P160" s="10"/>
    </row>
    <row r="161" spans="1:16" s="3" customFormat="1" x14ac:dyDescent="0.35">
      <c r="A161" s="55">
        <f t="shared" ca="1" si="38"/>
        <v>50140</v>
      </c>
      <c r="B161" s="39">
        <v>141</v>
      </c>
      <c r="C161" s="40">
        <f t="shared" ca="1" si="29"/>
        <v>10356.481866324639</v>
      </c>
      <c r="D161" s="24">
        <f t="shared" ca="1" si="30"/>
        <v>8603.8464735620073</v>
      </c>
      <c r="E161" s="24">
        <f t="shared" ca="1" si="37"/>
        <v>1376.6154357699213</v>
      </c>
      <c r="F161" s="24">
        <f t="shared" ca="1" si="31"/>
        <v>2985.2364596482666</v>
      </c>
      <c r="G161" s="132">
        <f t="shared" ca="1" si="34"/>
        <v>2867948.8245206689</v>
      </c>
      <c r="H161" s="41">
        <f t="shared" ca="1" si="39"/>
        <v>536.38329121386221</v>
      </c>
      <c r="I161" s="84">
        <f t="shared" si="35"/>
        <v>40</v>
      </c>
      <c r="J161" s="50"/>
      <c r="K161" s="24">
        <f t="shared" si="32"/>
        <v>0</v>
      </c>
      <c r="L161" s="62">
        <f t="shared" ca="1" si="33"/>
        <v>23859</v>
      </c>
      <c r="M161" s="3">
        <f>SUM($J$21:J161)</f>
        <v>0</v>
      </c>
      <c r="N161" s="3">
        <f>COUNT($B$21:B161)</f>
        <v>141</v>
      </c>
      <c r="O161" s="3">
        <f t="shared" si="36"/>
        <v>141</v>
      </c>
      <c r="P161" s="10"/>
    </row>
    <row r="162" spans="1:16" s="3" customFormat="1" x14ac:dyDescent="0.35">
      <c r="A162" s="55">
        <f t="shared" ca="1" si="38"/>
        <v>50170</v>
      </c>
      <c r="B162" s="39">
        <v>142</v>
      </c>
      <c r="C162" s="40">
        <f t="shared" ca="1" si="29"/>
        <v>10356.481866324639</v>
      </c>
      <c r="D162" s="24">
        <f t="shared" ca="1" si="30"/>
        <v>8603.8464735620073</v>
      </c>
      <c r="E162" s="24">
        <f t="shared" ca="1" si="37"/>
        <v>1376.6154357699213</v>
      </c>
      <c r="F162" s="24">
        <f t="shared" ca="1" si="31"/>
        <v>2985.2364596482666</v>
      </c>
      <c r="G162" s="132">
        <f t="shared" ca="1" si="34"/>
        <v>2867948.8245206689</v>
      </c>
      <c r="H162" s="41">
        <f t="shared" ca="1" si="39"/>
        <v>536.38329121386221</v>
      </c>
      <c r="I162" s="84">
        <f t="shared" si="35"/>
        <v>39</v>
      </c>
      <c r="J162" s="50"/>
      <c r="K162" s="24">
        <f t="shared" si="32"/>
        <v>0</v>
      </c>
      <c r="L162" s="62">
        <f t="shared" ca="1" si="33"/>
        <v>23859</v>
      </c>
      <c r="M162" s="3">
        <f>SUM($J$21:J162)</f>
        <v>0</v>
      </c>
      <c r="N162" s="3">
        <f>COUNT($B$21:B162)</f>
        <v>142</v>
      </c>
      <c r="O162" s="3">
        <f t="shared" si="36"/>
        <v>142</v>
      </c>
      <c r="P162" s="10"/>
    </row>
    <row r="163" spans="1:16" s="3" customFormat="1" x14ac:dyDescent="0.35">
      <c r="A163" s="55">
        <f t="shared" ca="1" si="38"/>
        <v>50201</v>
      </c>
      <c r="B163" s="39">
        <v>143</v>
      </c>
      <c r="C163" s="40">
        <f t="shared" ca="1" si="29"/>
        <v>10356.481866324639</v>
      </c>
      <c r="D163" s="24">
        <f t="shared" ca="1" si="30"/>
        <v>8603.8464735620073</v>
      </c>
      <c r="E163" s="24">
        <f t="shared" ca="1" si="37"/>
        <v>1376.6154357699213</v>
      </c>
      <c r="F163" s="24">
        <f t="shared" ca="1" si="31"/>
        <v>2985.2364596482666</v>
      </c>
      <c r="G163" s="132">
        <f t="shared" ca="1" si="34"/>
        <v>2867948.8245206689</v>
      </c>
      <c r="H163" s="41">
        <f t="shared" ca="1" si="39"/>
        <v>536.38329121386221</v>
      </c>
      <c r="I163" s="84">
        <f t="shared" si="35"/>
        <v>38</v>
      </c>
      <c r="J163" s="50"/>
      <c r="K163" s="24">
        <f t="shared" si="32"/>
        <v>0</v>
      </c>
      <c r="L163" s="62">
        <f t="shared" ca="1" si="33"/>
        <v>23859</v>
      </c>
      <c r="M163" s="3">
        <f>SUM($J$21:J163)</f>
        <v>0</v>
      </c>
      <c r="N163" s="3">
        <f>COUNT($B$21:B163)</f>
        <v>143</v>
      </c>
      <c r="O163" s="3">
        <f t="shared" si="36"/>
        <v>143</v>
      </c>
      <c r="P163" s="10"/>
    </row>
    <row r="164" spans="1:16" s="3" customFormat="1" x14ac:dyDescent="0.35">
      <c r="A164" s="55">
        <f t="shared" ca="1" si="38"/>
        <v>50231</v>
      </c>
      <c r="B164" s="39">
        <v>144</v>
      </c>
      <c r="C164" s="40">
        <f t="shared" ca="1" si="29"/>
        <v>10718.958731646</v>
      </c>
      <c r="D164" s="24">
        <f t="shared" ca="1" si="30"/>
        <v>8904.9811001366761</v>
      </c>
      <c r="E164" s="24">
        <f t="shared" ca="1" si="37"/>
        <v>1424.7969760218682</v>
      </c>
      <c r="F164" s="24">
        <f t="shared" ca="1" si="31"/>
        <v>3089.7197357359555</v>
      </c>
      <c r="G164" s="132">
        <f t="shared" ca="1" si="34"/>
        <v>2968327.0333788921</v>
      </c>
      <c r="H164" s="41">
        <f t="shared" ca="1" si="39"/>
        <v>555.15670640634733</v>
      </c>
      <c r="I164" s="84">
        <f t="shared" si="35"/>
        <v>37</v>
      </c>
      <c r="J164" s="50"/>
      <c r="K164" s="24">
        <f t="shared" si="32"/>
        <v>0</v>
      </c>
      <c r="L164" s="62">
        <f t="shared" ca="1" si="33"/>
        <v>24694</v>
      </c>
      <c r="M164" s="3">
        <f>SUM($J$21:J164)</f>
        <v>0</v>
      </c>
      <c r="N164" s="3">
        <f>COUNT($B$21:B164)</f>
        <v>144</v>
      </c>
      <c r="O164" s="3">
        <f t="shared" si="36"/>
        <v>144</v>
      </c>
      <c r="P164" s="10"/>
    </row>
    <row r="165" spans="1:16" s="3" customFormat="1" x14ac:dyDescent="0.35">
      <c r="A165" s="55">
        <f t="shared" ca="1" si="38"/>
        <v>50262</v>
      </c>
      <c r="B165" s="39">
        <v>145</v>
      </c>
      <c r="C165" s="40">
        <f t="shared" ca="1" si="29"/>
        <v>10718.958731646</v>
      </c>
      <c r="D165" s="24">
        <f t="shared" ca="1" si="30"/>
        <v>8904.9811001366761</v>
      </c>
      <c r="E165" s="24">
        <f t="shared" ca="1" si="37"/>
        <v>1424.7969760218682</v>
      </c>
      <c r="F165" s="24">
        <f t="shared" ca="1" si="31"/>
        <v>3089.7197357359555</v>
      </c>
      <c r="G165" s="132">
        <f t="shared" ca="1" si="34"/>
        <v>2968327.0333788921</v>
      </c>
      <c r="H165" s="41">
        <f t="shared" ca="1" si="39"/>
        <v>555.15670640634733</v>
      </c>
      <c r="I165" s="84">
        <f t="shared" si="35"/>
        <v>36</v>
      </c>
      <c r="J165" s="50"/>
      <c r="K165" s="24">
        <f t="shared" si="32"/>
        <v>0</v>
      </c>
      <c r="L165" s="62">
        <f t="shared" ca="1" si="33"/>
        <v>24694</v>
      </c>
      <c r="M165" s="3">
        <f>SUM($J$21:J165)</f>
        <v>0</v>
      </c>
      <c r="N165" s="3">
        <f>COUNT($B$21:B165)</f>
        <v>145</v>
      </c>
      <c r="O165" s="3">
        <f t="shared" si="36"/>
        <v>145</v>
      </c>
      <c r="P165" s="10"/>
    </row>
    <row r="166" spans="1:16" s="3" customFormat="1" x14ac:dyDescent="0.35">
      <c r="A166" s="55">
        <f t="shared" ca="1" si="38"/>
        <v>50293</v>
      </c>
      <c r="B166" s="39">
        <v>146</v>
      </c>
      <c r="C166" s="40">
        <f t="shared" ca="1" si="29"/>
        <v>10718.958731646</v>
      </c>
      <c r="D166" s="24">
        <f t="shared" ca="1" si="30"/>
        <v>8904.9811001366761</v>
      </c>
      <c r="E166" s="24">
        <f t="shared" ca="1" si="37"/>
        <v>1424.7969760218682</v>
      </c>
      <c r="F166" s="24">
        <f t="shared" ca="1" si="31"/>
        <v>3089.7197357359555</v>
      </c>
      <c r="G166" s="132">
        <f t="shared" ca="1" si="34"/>
        <v>2968327.0333788921</v>
      </c>
      <c r="H166" s="41">
        <f t="shared" ca="1" si="39"/>
        <v>555.15670640634733</v>
      </c>
      <c r="I166" s="84">
        <f t="shared" si="35"/>
        <v>35</v>
      </c>
      <c r="J166" s="50"/>
      <c r="K166" s="24">
        <f t="shared" si="32"/>
        <v>0</v>
      </c>
      <c r="L166" s="62">
        <f t="shared" ca="1" si="33"/>
        <v>24694</v>
      </c>
      <c r="M166" s="3">
        <f>SUM($J$21:J166)</f>
        <v>0</v>
      </c>
      <c r="N166" s="3">
        <f>COUNT($B$21:B166)</f>
        <v>146</v>
      </c>
      <c r="O166" s="3">
        <f t="shared" si="36"/>
        <v>146</v>
      </c>
      <c r="P166" s="10"/>
    </row>
    <row r="167" spans="1:16" s="3" customFormat="1" x14ac:dyDescent="0.35">
      <c r="A167" s="55">
        <f t="shared" ca="1" si="38"/>
        <v>50323</v>
      </c>
      <c r="B167" s="39">
        <v>147</v>
      </c>
      <c r="C167" s="40">
        <f t="shared" ca="1" si="29"/>
        <v>10718.958731646</v>
      </c>
      <c r="D167" s="24">
        <f t="shared" ca="1" si="30"/>
        <v>8904.9811001366761</v>
      </c>
      <c r="E167" s="24">
        <f t="shared" ca="1" si="37"/>
        <v>1424.7969760218682</v>
      </c>
      <c r="F167" s="24">
        <f t="shared" ca="1" si="31"/>
        <v>3089.7197357359555</v>
      </c>
      <c r="G167" s="132">
        <f t="shared" ca="1" si="34"/>
        <v>2968327.0333788921</v>
      </c>
      <c r="H167" s="41">
        <f t="shared" ca="1" si="39"/>
        <v>555.15670640634733</v>
      </c>
      <c r="I167" s="84">
        <f t="shared" si="35"/>
        <v>34</v>
      </c>
      <c r="J167" s="50"/>
      <c r="K167" s="24">
        <f t="shared" si="32"/>
        <v>0</v>
      </c>
      <c r="L167" s="62">
        <f t="shared" ca="1" si="33"/>
        <v>24694</v>
      </c>
      <c r="M167" s="3">
        <f>SUM($J$21:J167)</f>
        <v>0</v>
      </c>
      <c r="N167" s="3">
        <f>COUNT($B$21:B167)</f>
        <v>147</v>
      </c>
      <c r="O167" s="3">
        <f t="shared" si="36"/>
        <v>147</v>
      </c>
      <c r="P167" s="10"/>
    </row>
    <row r="168" spans="1:16" s="3" customFormat="1" x14ac:dyDescent="0.35">
      <c r="A168" s="55">
        <f t="shared" ca="1" si="38"/>
        <v>50354</v>
      </c>
      <c r="B168" s="39">
        <v>148</v>
      </c>
      <c r="C168" s="40">
        <f t="shared" ca="1" si="29"/>
        <v>10718.958731646</v>
      </c>
      <c r="D168" s="24">
        <f t="shared" ca="1" si="30"/>
        <v>8904.9811001366761</v>
      </c>
      <c r="E168" s="24">
        <f t="shared" ca="1" si="37"/>
        <v>1424.7969760218682</v>
      </c>
      <c r="F168" s="24">
        <f t="shared" ca="1" si="31"/>
        <v>3089.7197357359555</v>
      </c>
      <c r="G168" s="132">
        <f t="shared" ca="1" si="34"/>
        <v>2968327.0333788921</v>
      </c>
      <c r="H168" s="41">
        <f t="shared" ca="1" si="39"/>
        <v>555.15670640634733</v>
      </c>
      <c r="I168" s="84">
        <f t="shared" si="35"/>
        <v>33</v>
      </c>
      <c r="J168" s="50"/>
      <c r="K168" s="24">
        <f t="shared" si="32"/>
        <v>0</v>
      </c>
      <c r="L168" s="62">
        <f t="shared" ca="1" si="33"/>
        <v>24694</v>
      </c>
      <c r="M168" s="3">
        <f>SUM($J$21:J168)</f>
        <v>0</v>
      </c>
      <c r="N168" s="3">
        <f>COUNT($B$21:B168)</f>
        <v>148</v>
      </c>
      <c r="O168" s="3">
        <f t="shared" si="36"/>
        <v>148</v>
      </c>
      <c r="P168" s="10"/>
    </row>
    <row r="169" spans="1:16" s="3" customFormat="1" x14ac:dyDescent="0.35">
      <c r="A169" s="55">
        <f t="shared" ca="1" si="38"/>
        <v>50384</v>
      </c>
      <c r="B169" s="39">
        <v>149</v>
      </c>
      <c r="C169" s="40">
        <f t="shared" ca="1" si="29"/>
        <v>10718.958731646</v>
      </c>
      <c r="D169" s="24">
        <f t="shared" ca="1" si="30"/>
        <v>8904.9811001366761</v>
      </c>
      <c r="E169" s="24">
        <f t="shared" ca="1" si="37"/>
        <v>1424.7969760218682</v>
      </c>
      <c r="F169" s="24">
        <f t="shared" ca="1" si="31"/>
        <v>3089.7197357359555</v>
      </c>
      <c r="G169" s="132">
        <f t="shared" ca="1" si="34"/>
        <v>2968327.0333788921</v>
      </c>
      <c r="H169" s="41">
        <f t="shared" ca="1" si="39"/>
        <v>555.15670640634733</v>
      </c>
      <c r="I169" s="84">
        <f t="shared" si="35"/>
        <v>32</v>
      </c>
      <c r="J169" s="50"/>
      <c r="K169" s="24">
        <f t="shared" si="32"/>
        <v>0</v>
      </c>
      <c r="L169" s="62">
        <f t="shared" ca="1" si="33"/>
        <v>24694</v>
      </c>
      <c r="M169" s="3">
        <f>SUM($J$21:J169)</f>
        <v>0</v>
      </c>
      <c r="N169" s="3">
        <f>COUNT($B$21:B169)</f>
        <v>149</v>
      </c>
      <c r="O169" s="3">
        <f t="shared" si="36"/>
        <v>149</v>
      </c>
      <c r="P169" s="10"/>
    </row>
    <row r="170" spans="1:16" s="3" customFormat="1" x14ac:dyDescent="0.35">
      <c r="A170" s="55">
        <f t="shared" ca="1" si="38"/>
        <v>50415</v>
      </c>
      <c r="B170" s="39">
        <v>150</v>
      </c>
      <c r="C170" s="40">
        <f t="shared" ca="1" si="29"/>
        <v>11094.122287253609</v>
      </c>
      <c r="D170" s="24">
        <f t="shared" ca="1" si="30"/>
        <v>9216.6554386414591</v>
      </c>
      <c r="E170" s="24">
        <f t="shared" ca="1" si="37"/>
        <v>1474.6648701826334</v>
      </c>
      <c r="F170" s="24">
        <f t="shared" ca="1" si="31"/>
        <v>3197.8599264867144</v>
      </c>
      <c r="G170" s="132">
        <f t="shared" ca="1" si="34"/>
        <v>3072218.4795471532</v>
      </c>
      <c r="H170" s="41">
        <f t="shared" ca="1" si="39"/>
        <v>574.58719113056952</v>
      </c>
      <c r="I170" s="84">
        <f t="shared" si="35"/>
        <v>31</v>
      </c>
      <c r="J170" s="50"/>
      <c r="K170" s="24">
        <f t="shared" si="32"/>
        <v>0</v>
      </c>
      <c r="L170" s="62">
        <f t="shared" ca="1" si="33"/>
        <v>25558</v>
      </c>
      <c r="M170" s="3">
        <f>SUM($J$21:J170)</f>
        <v>0</v>
      </c>
      <c r="N170" s="3">
        <f>COUNT($B$21:B170)</f>
        <v>150</v>
      </c>
      <c r="O170" s="3">
        <f t="shared" si="36"/>
        <v>150</v>
      </c>
      <c r="P170" s="10"/>
    </row>
    <row r="171" spans="1:16" s="3" customFormat="1" x14ac:dyDescent="0.35">
      <c r="A171" s="55">
        <f t="shared" ca="1" si="38"/>
        <v>50446</v>
      </c>
      <c r="B171" s="39">
        <v>151</v>
      </c>
      <c r="C171" s="40">
        <f t="shared" ca="1" si="29"/>
        <v>11094.122287253609</v>
      </c>
      <c r="D171" s="24">
        <f t="shared" ca="1" si="30"/>
        <v>9216.6554386414591</v>
      </c>
      <c r="E171" s="24">
        <f t="shared" ca="1" si="37"/>
        <v>1474.6648701826334</v>
      </c>
      <c r="F171" s="24">
        <f t="shared" ca="1" si="31"/>
        <v>3197.8599264867144</v>
      </c>
      <c r="G171" s="132">
        <f t="shared" ca="1" si="34"/>
        <v>3072218.4795471532</v>
      </c>
      <c r="H171" s="41">
        <f t="shared" ca="1" si="39"/>
        <v>574.58719113056952</v>
      </c>
      <c r="I171" s="84">
        <f t="shared" si="35"/>
        <v>30</v>
      </c>
      <c r="J171" s="50"/>
      <c r="K171" s="24">
        <f t="shared" si="32"/>
        <v>0</v>
      </c>
      <c r="L171" s="62">
        <f t="shared" ca="1" si="33"/>
        <v>25558</v>
      </c>
      <c r="M171" s="3">
        <f>SUM($J$21:J171)</f>
        <v>0</v>
      </c>
      <c r="N171" s="3">
        <f>COUNT($B$21:B171)</f>
        <v>151</v>
      </c>
      <c r="O171" s="3">
        <f t="shared" si="36"/>
        <v>151</v>
      </c>
      <c r="P171" s="10"/>
    </row>
    <row r="172" spans="1:16" s="3" customFormat="1" x14ac:dyDescent="0.35">
      <c r="A172" s="55">
        <f t="shared" ca="1" si="38"/>
        <v>50474</v>
      </c>
      <c r="B172" s="39">
        <v>152</v>
      </c>
      <c r="C172" s="40">
        <f t="shared" ca="1" si="29"/>
        <v>11094.122287253609</v>
      </c>
      <c r="D172" s="24">
        <f t="shared" ca="1" si="30"/>
        <v>9216.6554386414591</v>
      </c>
      <c r="E172" s="24">
        <f t="shared" ca="1" si="37"/>
        <v>1474.6648701826334</v>
      </c>
      <c r="F172" s="24">
        <f t="shared" ca="1" si="31"/>
        <v>3197.8599264867144</v>
      </c>
      <c r="G172" s="132">
        <f t="shared" ca="1" si="34"/>
        <v>3072218.4795471532</v>
      </c>
      <c r="H172" s="41">
        <f t="shared" ca="1" si="39"/>
        <v>574.58719113056952</v>
      </c>
      <c r="I172" s="84">
        <f t="shared" si="35"/>
        <v>29</v>
      </c>
      <c r="J172" s="50"/>
      <c r="K172" s="24">
        <f t="shared" si="32"/>
        <v>0</v>
      </c>
      <c r="L172" s="62">
        <f t="shared" ca="1" si="33"/>
        <v>25558</v>
      </c>
      <c r="M172" s="3">
        <f>SUM($J$21:J172)</f>
        <v>0</v>
      </c>
      <c r="N172" s="3">
        <f>COUNT($B$21:B172)</f>
        <v>152</v>
      </c>
      <c r="O172" s="3">
        <f t="shared" si="36"/>
        <v>152</v>
      </c>
      <c r="P172" s="10"/>
    </row>
    <row r="173" spans="1:16" s="3" customFormat="1" x14ac:dyDescent="0.35">
      <c r="A173" s="55">
        <f t="shared" ca="1" si="38"/>
        <v>50505</v>
      </c>
      <c r="B173" s="39">
        <v>153</v>
      </c>
      <c r="C173" s="40">
        <f t="shared" ca="1" si="29"/>
        <v>11094.122287253609</v>
      </c>
      <c r="D173" s="24">
        <f t="shared" ca="1" si="30"/>
        <v>9216.6554386414591</v>
      </c>
      <c r="E173" s="24">
        <f t="shared" ca="1" si="37"/>
        <v>1474.6648701826334</v>
      </c>
      <c r="F173" s="24">
        <f t="shared" ca="1" si="31"/>
        <v>3197.8599264867144</v>
      </c>
      <c r="G173" s="132">
        <f t="shared" ca="1" si="34"/>
        <v>3072218.4795471532</v>
      </c>
      <c r="H173" s="41">
        <f t="shared" ca="1" si="39"/>
        <v>574.58719113056952</v>
      </c>
      <c r="I173" s="84">
        <f t="shared" si="35"/>
        <v>28</v>
      </c>
      <c r="J173" s="50"/>
      <c r="K173" s="24">
        <f t="shared" si="32"/>
        <v>0</v>
      </c>
      <c r="L173" s="62">
        <f t="shared" ca="1" si="33"/>
        <v>25558</v>
      </c>
      <c r="M173" s="3">
        <f>SUM($J$21:J173)</f>
        <v>0</v>
      </c>
      <c r="N173" s="3">
        <f>COUNT($B$21:B173)</f>
        <v>153</v>
      </c>
      <c r="O173" s="3">
        <f t="shared" si="36"/>
        <v>153</v>
      </c>
      <c r="P173" s="10"/>
    </row>
    <row r="174" spans="1:16" s="3" customFormat="1" x14ac:dyDescent="0.35">
      <c r="A174" s="55">
        <f t="shared" ca="1" si="38"/>
        <v>50535</v>
      </c>
      <c r="B174" s="39">
        <v>154</v>
      </c>
      <c r="C174" s="40">
        <f t="shared" ca="1" si="29"/>
        <v>11094.122287253609</v>
      </c>
      <c r="D174" s="24">
        <f t="shared" ca="1" si="30"/>
        <v>9216.6554386414591</v>
      </c>
      <c r="E174" s="24">
        <f t="shared" ca="1" si="37"/>
        <v>1474.6648701826334</v>
      </c>
      <c r="F174" s="24">
        <f t="shared" ca="1" si="31"/>
        <v>3197.8599264867144</v>
      </c>
      <c r="G174" s="132">
        <f t="shared" ca="1" si="34"/>
        <v>3072218.4795471532</v>
      </c>
      <c r="H174" s="41">
        <f t="shared" ca="1" si="39"/>
        <v>574.58719113056952</v>
      </c>
      <c r="I174" s="84">
        <f t="shared" si="35"/>
        <v>27</v>
      </c>
      <c r="J174" s="50"/>
      <c r="K174" s="24">
        <f t="shared" si="32"/>
        <v>0</v>
      </c>
      <c r="L174" s="62">
        <f t="shared" ca="1" si="33"/>
        <v>25558</v>
      </c>
      <c r="M174" s="3">
        <f>SUM($J$21:J174)</f>
        <v>0</v>
      </c>
      <c r="N174" s="3">
        <f>COUNT($B$21:B174)</f>
        <v>154</v>
      </c>
      <c r="O174" s="3">
        <f t="shared" si="36"/>
        <v>154</v>
      </c>
      <c r="P174" s="10"/>
    </row>
    <row r="175" spans="1:16" s="3" customFormat="1" x14ac:dyDescent="0.35">
      <c r="A175" s="55">
        <f t="shared" ca="1" si="38"/>
        <v>50566</v>
      </c>
      <c r="B175" s="39">
        <v>155</v>
      </c>
      <c r="C175" s="40">
        <f t="shared" ca="1" si="29"/>
        <v>11094.122287253609</v>
      </c>
      <c r="D175" s="24">
        <f t="shared" ca="1" si="30"/>
        <v>9216.6554386414591</v>
      </c>
      <c r="E175" s="24">
        <f t="shared" ca="1" si="37"/>
        <v>1474.6648701826334</v>
      </c>
      <c r="F175" s="24">
        <f t="shared" ca="1" si="31"/>
        <v>3197.8599264867144</v>
      </c>
      <c r="G175" s="132">
        <f t="shared" ca="1" si="34"/>
        <v>3072218.4795471532</v>
      </c>
      <c r="H175" s="41">
        <f t="shared" ca="1" si="39"/>
        <v>574.58719113056952</v>
      </c>
      <c r="I175" s="84">
        <f t="shared" si="35"/>
        <v>26</v>
      </c>
      <c r="J175" s="50"/>
      <c r="K175" s="24">
        <f t="shared" si="32"/>
        <v>0</v>
      </c>
      <c r="L175" s="62">
        <f t="shared" ca="1" si="33"/>
        <v>25558</v>
      </c>
      <c r="M175" s="3">
        <f>SUM($J$21:J175)</f>
        <v>0</v>
      </c>
      <c r="N175" s="3">
        <f>COUNT($B$21:B175)</f>
        <v>155</v>
      </c>
      <c r="O175" s="3">
        <f t="shared" si="36"/>
        <v>155</v>
      </c>
      <c r="P175" s="10"/>
    </row>
    <row r="176" spans="1:16" s="3" customFormat="1" x14ac:dyDescent="0.35">
      <c r="A176" s="55">
        <f t="shared" ca="1" si="38"/>
        <v>50596</v>
      </c>
      <c r="B176" s="39">
        <v>156</v>
      </c>
      <c r="C176" s="40">
        <f t="shared" ca="1" si="29"/>
        <v>11482.416567307484</v>
      </c>
      <c r="D176" s="24">
        <f t="shared" ca="1" si="30"/>
        <v>9539.2383789939104</v>
      </c>
      <c r="E176" s="24">
        <f t="shared" ca="1" si="37"/>
        <v>1526.2781406390257</v>
      </c>
      <c r="F176" s="24">
        <f t="shared" ca="1" si="31"/>
        <v>3309.7850239137479</v>
      </c>
      <c r="G176" s="132">
        <f t="shared" ca="1" si="34"/>
        <v>3179746.1263313033</v>
      </c>
      <c r="H176" s="41">
        <f t="shared" ca="1" si="39"/>
        <v>594.6977428201393</v>
      </c>
      <c r="I176" s="84">
        <f t="shared" si="35"/>
        <v>25</v>
      </c>
      <c r="J176" s="50"/>
      <c r="K176" s="24">
        <f t="shared" si="32"/>
        <v>0</v>
      </c>
      <c r="L176" s="62">
        <f t="shared" ca="1" si="33"/>
        <v>26453</v>
      </c>
      <c r="M176" s="3">
        <f>SUM($J$21:J176)</f>
        <v>0</v>
      </c>
      <c r="N176" s="3">
        <f>COUNT($B$21:B176)</f>
        <v>156</v>
      </c>
      <c r="O176" s="3">
        <f t="shared" si="36"/>
        <v>156</v>
      </c>
      <c r="P176" s="10"/>
    </row>
    <row r="177" spans="1:16" s="3" customFormat="1" x14ac:dyDescent="0.35">
      <c r="A177" s="55">
        <f t="shared" ca="1" si="38"/>
        <v>50627</v>
      </c>
      <c r="B177" s="39">
        <v>157</v>
      </c>
      <c r="C177" s="40">
        <f t="shared" ca="1" si="29"/>
        <v>11482.416567307484</v>
      </c>
      <c r="D177" s="24">
        <f t="shared" ca="1" si="30"/>
        <v>9539.2383789939104</v>
      </c>
      <c r="E177" s="24">
        <f t="shared" ca="1" si="37"/>
        <v>1526.2781406390257</v>
      </c>
      <c r="F177" s="24">
        <f t="shared" ca="1" si="31"/>
        <v>3309.7850239137479</v>
      </c>
      <c r="G177" s="132">
        <f t="shared" ca="1" si="34"/>
        <v>3179746.1263313033</v>
      </c>
      <c r="H177" s="41">
        <f t="shared" ca="1" si="39"/>
        <v>594.6977428201393</v>
      </c>
      <c r="I177" s="84">
        <f t="shared" si="35"/>
        <v>24</v>
      </c>
      <c r="J177" s="50"/>
      <c r="K177" s="24">
        <f t="shared" si="32"/>
        <v>0</v>
      </c>
      <c r="L177" s="62">
        <f t="shared" ca="1" si="33"/>
        <v>26453</v>
      </c>
      <c r="M177" s="3">
        <f>SUM($J$21:J177)</f>
        <v>0</v>
      </c>
      <c r="N177" s="3">
        <f>COUNT($B$21:B177)</f>
        <v>157</v>
      </c>
      <c r="O177" s="3">
        <f t="shared" si="36"/>
        <v>157</v>
      </c>
      <c r="P177" s="10"/>
    </row>
    <row r="178" spans="1:16" s="3" customFormat="1" x14ac:dyDescent="0.35">
      <c r="A178" s="55">
        <f t="shared" ca="1" si="38"/>
        <v>50658</v>
      </c>
      <c r="B178" s="39">
        <v>158</v>
      </c>
      <c r="C178" s="40">
        <f t="shared" ca="1" si="29"/>
        <v>11482.416567307484</v>
      </c>
      <c r="D178" s="24">
        <f t="shared" ca="1" si="30"/>
        <v>9539.2383789939104</v>
      </c>
      <c r="E178" s="24">
        <f t="shared" ca="1" si="37"/>
        <v>1526.2781406390257</v>
      </c>
      <c r="F178" s="24">
        <f t="shared" ca="1" si="31"/>
        <v>3309.7850239137479</v>
      </c>
      <c r="G178" s="132">
        <f t="shared" ca="1" si="34"/>
        <v>3179746.1263313033</v>
      </c>
      <c r="H178" s="41">
        <f t="shared" ca="1" si="39"/>
        <v>594.6977428201393</v>
      </c>
      <c r="I178" s="84">
        <f t="shared" si="35"/>
        <v>23</v>
      </c>
      <c r="J178" s="50"/>
      <c r="K178" s="24">
        <f t="shared" si="32"/>
        <v>0</v>
      </c>
      <c r="L178" s="62">
        <f t="shared" ca="1" si="33"/>
        <v>26453</v>
      </c>
      <c r="M178" s="3">
        <f>SUM($J$21:J178)</f>
        <v>0</v>
      </c>
      <c r="N178" s="3">
        <f>COUNT($B$21:B178)</f>
        <v>158</v>
      </c>
      <c r="O178" s="3">
        <f t="shared" si="36"/>
        <v>158</v>
      </c>
      <c r="P178" s="10"/>
    </row>
    <row r="179" spans="1:16" s="3" customFormat="1" x14ac:dyDescent="0.35">
      <c r="A179" s="55">
        <f t="shared" ca="1" si="38"/>
        <v>50688</v>
      </c>
      <c r="B179" s="39">
        <v>159</v>
      </c>
      <c r="C179" s="40">
        <f t="shared" ca="1" si="29"/>
        <v>11482.416567307484</v>
      </c>
      <c r="D179" s="24">
        <f t="shared" ca="1" si="30"/>
        <v>9539.2383789939104</v>
      </c>
      <c r="E179" s="24">
        <f t="shared" ca="1" si="37"/>
        <v>1526.2781406390257</v>
      </c>
      <c r="F179" s="24">
        <f t="shared" ca="1" si="31"/>
        <v>3309.7850239137479</v>
      </c>
      <c r="G179" s="132">
        <f t="shared" ca="1" si="34"/>
        <v>3179746.1263313033</v>
      </c>
      <c r="H179" s="41">
        <f t="shared" ca="1" si="39"/>
        <v>594.6977428201393</v>
      </c>
      <c r="I179" s="84">
        <f t="shared" si="35"/>
        <v>22</v>
      </c>
      <c r="J179" s="50"/>
      <c r="K179" s="24">
        <f t="shared" si="32"/>
        <v>0</v>
      </c>
      <c r="L179" s="62">
        <f t="shared" ca="1" si="33"/>
        <v>26453</v>
      </c>
      <c r="M179" s="3">
        <f>SUM($J$21:J179)</f>
        <v>0</v>
      </c>
      <c r="N179" s="3">
        <f>COUNT($B$21:B179)</f>
        <v>159</v>
      </c>
      <c r="O179" s="3">
        <f t="shared" si="36"/>
        <v>159</v>
      </c>
      <c r="P179" s="10"/>
    </row>
    <row r="180" spans="1:16" s="3" customFormat="1" x14ac:dyDescent="0.35">
      <c r="A180" s="55">
        <f t="shared" ca="1" si="38"/>
        <v>50719</v>
      </c>
      <c r="B180" s="39">
        <v>160</v>
      </c>
      <c r="C180" s="40">
        <f t="shared" ca="1" si="29"/>
        <v>11482.416567307484</v>
      </c>
      <c r="D180" s="24">
        <f t="shared" ca="1" si="30"/>
        <v>9539.2383789939104</v>
      </c>
      <c r="E180" s="24">
        <f t="shared" ca="1" si="37"/>
        <v>1526.2781406390257</v>
      </c>
      <c r="F180" s="24">
        <f t="shared" ca="1" si="31"/>
        <v>3309.7850239137479</v>
      </c>
      <c r="G180" s="132">
        <f t="shared" ca="1" si="34"/>
        <v>3179746.1263313033</v>
      </c>
      <c r="H180" s="41">
        <f t="shared" ca="1" si="39"/>
        <v>594.6977428201393</v>
      </c>
      <c r="I180" s="84">
        <f t="shared" si="35"/>
        <v>21</v>
      </c>
      <c r="J180" s="50"/>
      <c r="K180" s="24">
        <f t="shared" si="32"/>
        <v>0</v>
      </c>
      <c r="L180" s="62">
        <f t="shared" ca="1" si="33"/>
        <v>26453</v>
      </c>
      <c r="M180" s="3">
        <f>SUM($J$21:J180)</f>
        <v>0</v>
      </c>
      <c r="N180" s="3">
        <f>COUNT($B$21:B180)</f>
        <v>160</v>
      </c>
      <c r="O180" s="3">
        <f t="shared" si="36"/>
        <v>160</v>
      </c>
      <c r="P180" s="10"/>
    </row>
    <row r="181" spans="1:16" s="3" customFormat="1" x14ac:dyDescent="0.35">
      <c r="A181" s="55">
        <f t="shared" ca="1" si="38"/>
        <v>50749</v>
      </c>
      <c r="B181" s="39">
        <v>161</v>
      </c>
      <c r="C181" s="40">
        <f t="shared" ca="1" si="29"/>
        <v>11482.416567307484</v>
      </c>
      <c r="D181" s="24">
        <f t="shared" ca="1" si="30"/>
        <v>9539.2383789939104</v>
      </c>
      <c r="E181" s="24">
        <f t="shared" ca="1" si="37"/>
        <v>1526.2781406390257</v>
      </c>
      <c r="F181" s="24">
        <f t="shared" ca="1" si="31"/>
        <v>3309.7850239137479</v>
      </c>
      <c r="G181" s="132">
        <f t="shared" ca="1" si="34"/>
        <v>3179746.1263313033</v>
      </c>
      <c r="H181" s="41">
        <f t="shared" ca="1" si="39"/>
        <v>594.6977428201393</v>
      </c>
      <c r="I181" s="84">
        <f t="shared" si="35"/>
        <v>20</v>
      </c>
      <c r="J181" s="50"/>
      <c r="K181" s="24">
        <f t="shared" si="32"/>
        <v>0</v>
      </c>
      <c r="L181" s="62">
        <f t="shared" ca="1" si="33"/>
        <v>26453</v>
      </c>
      <c r="M181" s="3">
        <f>SUM($J$21:J181)</f>
        <v>0</v>
      </c>
      <c r="N181" s="3">
        <f>COUNT($B$21:B181)</f>
        <v>161</v>
      </c>
      <c r="O181" s="3">
        <f t="shared" si="36"/>
        <v>161</v>
      </c>
      <c r="P181" s="10"/>
    </row>
    <row r="182" spans="1:16" s="3" customFormat="1" x14ac:dyDescent="0.35">
      <c r="A182" s="55">
        <f t="shared" ca="1" si="38"/>
        <v>50780</v>
      </c>
      <c r="B182" s="39">
        <v>162</v>
      </c>
      <c r="C182" s="40">
        <f t="shared" ref="C182:C200" ca="1" si="40">IF(O181&gt;179,0,(G182*$L$2)/$D$9)</f>
        <v>11884.301147163245</v>
      </c>
      <c r="D182" s="24">
        <f t="shared" ref="D182:D200" ca="1" si="41">IF(O181&gt;179,0,(G182*$D$3))</f>
        <v>9873.1117222586963</v>
      </c>
      <c r="E182" s="24">
        <f t="shared" ca="1" si="37"/>
        <v>1579.6978755613914</v>
      </c>
      <c r="F182" s="24">
        <f t="shared" ref="F182:F200" ca="1" si="42">IF(O181&gt;179,0,((G182/$D$9)+D182+E182)*($D$9)*(0.064%))</f>
        <v>3425.6274997507303</v>
      </c>
      <c r="G182" s="132">
        <f t="shared" ca="1" si="34"/>
        <v>3291037.2407528986</v>
      </c>
      <c r="H182" s="41">
        <f t="shared" ca="1" si="39"/>
        <v>615.51216381884421</v>
      </c>
      <c r="I182" s="84">
        <f t="shared" si="35"/>
        <v>19</v>
      </c>
      <c r="J182" s="50"/>
      <c r="K182" s="24">
        <f t="shared" si="32"/>
        <v>0</v>
      </c>
      <c r="L182" s="62">
        <f t="shared" ca="1" si="33"/>
        <v>27379</v>
      </c>
      <c r="M182" s="3">
        <f>SUM($J$21:J182)</f>
        <v>0</v>
      </c>
      <c r="N182" s="3">
        <f>COUNT($B$21:B182)</f>
        <v>162</v>
      </c>
      <c r="O182" s="3">
        <f t="shared" si="36"/>
        <v>162</v>
      </c>
      <c r="P182" s="10"/>
    </row>
    <row r="183" spans="1:16" s="3" customFormat="1" x14ac:dyDescent="0.35">
      <c r="A183" s="55">
        <f t="shared" ca="1" si="38"/>
        <v>50811</v>
      </c>
      <c r="B183" s="39">
        <v>163</v>
      </c>
      <c r="C183" s="40">
        <f t="shared" ca="1" si="40"/>
        <v>11884.301147163245</v>
      </c>
      <c r="D183" s="24">
        <f t="shared" ca="1" si="41"/>
        <v>9873.1117222586963</v>
      </c>
      <c r="E183" s="24">
        <f t="shared" ca="1" si="37"/>
        <v>1579.6978755613914</v>
      </c>
      <c r="F183" s="24">
        <f t="shared" ca="1" si="42"/>
        <v>3425.6274997507303</v>
      </c>
      <c r="G183" s="132">
        <f t="shared" ca="1" si="34"/>
        <v>3291037.2407528986</v>
      </c>
      <c r="H183" s="41">
        <f t="shared" ca="1" si="39"/>
        <v>615.51216381884421</v>
      </c>
      <c r="I183" s="84">
        <f t="shared" si="35"/>
        <v>18</v>
      </c>
      <c r="J183" s="50"/>
      <c r="K183" s="24">
        <f t="shared" si="32"/>
        <v>0</v>
      </c>
      <c r="L183" s="62">
        <f t="shared" ca="1" si="33"/>
        <v>27379</v>
      </c>
      <c r="M183" s="3">
        <f>SUM($J$21:J183)</f>
        <v>0</v>
      </c>
      <c r="N183" s="3">
        <f>COUNT($B$21:B183)</f>
        <v>163</v>
      </c>
      <c r="O183" s="3">
        <f t="shared" si="36"/>
        <v>163</v>
      </c>
      <c r="P183" s="10"/>
    </row>
    <row r="184" spans="1:16" s="44" customFormat="1" x14ac:dyDescent="0.35">
      <c r="A184" s="55">
        <f t="shared" ca="1" si="38"/>
        <v>50839</v>
      </c>
      <c r="B184" s="39">
        <v>164</v>
      </c>
      <c r="C184" s="40">
        <f t="shared" ca="1" si="40"/>
        <v>11884.301147163245</v>
      </c>
      <c r="D184" s="24">
        <f t="shared" ca="1" si="41"/>
        <v>9873.1117222586963</v>
      </c>
      <c r="E184" s="24">
        <f t="shared" ca="1" si="37"/>
        <v>1579.6978755613914</v>
      </c>
      <c r="F184" s="24">
        <f t="shared" ca="1" si="42"/>
        <v>3425.6274997507303</v>
      </c>
      <c r="G184" s="132">
        <f t="shared" ca="1" si="34"/>
        <v>3291037.2407528986</v>
      </c>
      <c r="H184" s="43">
        <f t="shared" ca="1" si="39"/>
        <v>615.51216381884421</v>
      </c>
      <c r="I184" s="85">
        <f t="shared" si="35"/>
        <v>17</v>
      </c>
      <c r="J184" s="50"/>
      <c r="K184" s="24">
        <f t="shared" si="32"/>
        <v>0</v>
      </c>
      <c r="L184" s="62">
        <f t="shared" ca="1" si="33"/>
        <v>27379</v>
      </c>
      <c r="M184" s="44">
        <f>SUM($J$21:J184)</f>
        <v>0</v>
      </c>
      <c r="N184" s="44">
        <f>COUNT($B$21:B184)</f>
        <v>164</v>
      </c>
      <c r="O184" s="44">
        <f t="shared" si="36"/>
        <v>164</v>
      </c>
      <c r="P184" s="45"/>
    </row>
    <row r="185" spans="1:16" s="44" customFormat="1" x14ac:dyDescent="0.35">
      <c r="A185" s="55">
        <f t="shared" ca="1" si="38"/>
        <v>50870</v>
      </c>
      <c r="B185" s="39">
        <v>165</v>
      </c>
      <c r="C185" s="40">
        <f t="shared" ca="1" si="40"/>
        <v>11884.301147163245</v>
      </c>
      <c r="D185" s="24">
        <f t="shared" ca="1" si="41"/>
        <v>9873.1117222586963</v>
      </c>
      <c r="E185" s="24">
        <f t="shared" ca="1" si="37"/>
        <v>1579.6978755613914</v>
      </c>
      <c r="F185" s="24">
        <f t="shared" ca="1" si="42"/>
        <v>3425.6274997507303</v>
      </c>
      <c r="G185" s="132">
        <f t="shared" ca="1" si="34"/>
        <v>3291037.2407528986</v>
      </c>
      <c r="H185" s="43">
        <f t="shared" ca="1" si="39"/>
        <v>615.51216381884421</v>
      </c>
      <c r="I185" s="85">
        <f t="shared" si="35"/>
        <v>16</v>
      </c>
      <c r="J185" s="50"/>
      <c r="K185" s="24">
        <f t="shared" si="32"/>
        <v>0</v>
      </c>
      <c r="L185" s="62">
        <f t="shared" ca="1" si="33"/>
        <v>27379</v>
      </c>
      <c r="M185" s="44">
        <f>SUM($J$21:J185)</f>
        <v>0</v>
      </c>
      <c r="N185" s="44">
        <f>COUNT($B$21:B185)</f>
        <v>165</v>
      </c>
      <c r="O185" s="44">
        <f t="shared" si="36"/>
        <v>165</v>
      </c>
      <c r="P185" s="45"/>
    </row>
    <row r="186" spans="1:16" s="44" customFormat="1" x14ac:dyDescent="0.35">
      <c r="A186" s="55">
        <f t="shared" ca="1" si="38"/>
        <v>50900</v>
      </c>
      <c r="B186" s="39">
        <v>166</v>
      </c>
      <c r="C186" s="40">
        <f t="shared" ca="1" si="40"/>
        <v>11884.301147163245</v>
      </c>
      <c r="D186" s="24">
        <f t="shared" ca="1" si="41"/>
        <v>9873.1117222586963</v>
      </c>
      <c r="E186" s="24">
        <f t="shared" ca="1" si="37"/>
        <v>1579.6978755613914</v>
      </c>
      <c r="F186" s="24">
        <f t="shared" ca="1" si="42"/>
        <v>3425.6274997507303</v>
      </c>
      <c r="G186" s="132">
        <f t="shared" ca="1" si="34"/>
        <v>3291037.2407528986</v>
      </c>
      <c r="H186" s="43">
        <f t="shared" ca="1" si="39"/>
        <v>615.51216381884421</v>
      </c>
      <c r="I186" s="85">
        <f t="shared" si="35"/>
        <v>15</v>
      </c>
      <c r="J186" s="50"/>
      <c r="K186" s="24">
        <f t="shared" si="32"/>
        <v>0</v>
      </c>
      <c r="L186" s="62">
        <f t="shared" ca="1" si="33"/>
        <v>27379</v>
      </c>
      <c r="M186" s="44">
        <f>SUM($J$21:J186)</f>
        <v>0</v>
      </c>
      <c r="N186" s="44">
        <f>COUNT($B$21:B186)</f>
        <v>166</v>
      </c>
      <c r="O186" s="44">
        <f t="shared" si="36"/>
        <v>166</v>
      </c>
      <c r="P186" s="45"/>
    </row>
    <row r="187" spans="1:16" s="44" customFormat="1" x14ac:dyDescent="0.35">
      <c r="A187" s="55">
        <f t="shared" ca="1" si="38"/>
        <v>50931</v>
      </c>
      <c r="B187" s="39">
        <v>167</v>
      </c>
      <c r="C187" s="40">
        <f t="shared" ca="1" si="40"/>
        <v>11884.301147163245</v>
      </c>
      <c r="D187" s="24">
        <f t="shared" ca="1" si="41"/>
        <v>9873.1117222586963</v>
      </c>
      <c r="E187" s="24">
        <f t="shared" ca="1" si="37"/>
        <v>1579.6978755613914</v>
      </c>
      <c r="F187" s="24">
        <f t="shared" ca="1" si="42"/>
        <v>3425.6274997507303</v>
      </c>
      <c r="G187" s="132">
        <f t="shared" ca="1" si="34"/>
        <v>3291037.2407528986</v>
      </c>
      <c r="H187" s="43">
        <f t="shared" ca="1" si="39"/>
        <v>615.51216381884421</v>
      </c>
      <c r="I187" s="85">
        <f t="shared" si="35"/>
        <v>14</v>
      </c>
      <c r="J187" s="50"/>
      <c r="K187" s="24">
        <f t="shared" si="32"/>
        <v>0</v>
      </c>
      <c r="L187" s="62">
        <f t="shared" ca="1" si="33"/>
        <v>27379</v>
      </c>
      <c r="M187" s="44">
        <f>SUM($J$21:J187)</f>
        <v>0</v>
      </c>
      <c r="N187" s="44">
        <f>COUNT($B$21:B187)</f>
        <v>167</v>
      </c>
      <c r="O187" s="44">
        <f t="shared" si="36"/>
        <v>167</v>
      </c>
      <c r="P187" s="45"/>
    </row>
    <row r="188" spans="1:16" s="44" customFormat="1" x14ac:dyDescent="0.35">
      <c r="A188" s="55">
        <f t="shared" ca="1" si="38"/>
        <v>50961</v>
      </c>
      <c r="B188" s="39">
        <v>168</v>
      </c>
      <c r="C188" s="40">
        <f t="shared" ca="1" si="40"/>
        <v>12300.251687313958</v>
      </c>
      <c r="D188" s="24">
        <f t="shared" ca="1" si="41"/>
        <v>10218.670632537751</v>
      </c>
      <c r="E188" s="24">
        <f t="shared" ca="1" si="37"/>
        <v>1634.9873012060402</v>
      </c>
      <c r="F188" s="24">
        <f t="shared" ca="1" si="42"/>
        <v>3545.524462242005</v>
      </c>
      <c r="G188" s="132">
        <f t="shared" ca="1" si="34"/>
        <v>3406223.54417925</v>
      </c>
      <c r="H188" s="43">
        <f t="shared" ca="1" si="39"/>
        <v>637.05508955250377</v>
      </c>
      <c r="I188" s="85">
        <f t="shared" si="35"/>
        <v>13</v>
      </c>
      <c r="J188" s="50"/>
      <c r="K188" s="24">
        <f t="shared" si="32"/>
        <v>0</v>
      </c>
      <c r="L188" s="62">
        <f t="shared" ca="1" si="33"/>
        <v>28337</v>
      </c>
      <c r="M188" s="44">
        <f>SUM($J$21:J188)</f>
        <v>0</v>
      </c>
      <c r="N188" s="44">
        <f>COUNT($B$21:B188)</f>
        <v>168</v>
      </c>
      <c r="O188" s="44">
        <f t="shared" si="36"/>
        <v>168</v>
      </c>
      <c r="P188" s="45"/>
    </row>
    <row r="189" spans="1:16" s="44" customFormat="1" x14ac:dyDescent="0.35">
      <c r="A189" s="55">
        <f t="shared" ca="1" si="38"/>
        <v>50992</v>
      </c>
      <c r="B189" s="39">
        <v>169</v>
      </c>
      <c r="C189" s="40">
        <f t="shared" ca="1" si="40"/>
        <v>12300.251687313958</v>
      </c>
      <c r="D189" s="24">
        <f t="shared" ca="1" si="41"/>
        <v>10218.670632537751</v>
      </c>
      <c r="E189" s="24">
        <f t="shared" ca="1" si="37"/>
        <v>1634.9873012060402</v>
      </c>
      <c r="F189" s="24">
        <f t="shared" ca="1" si="42"/>
        <v>3545.524462242005</v>
      </c>
      <c r="G189" s="132">
        <f t="shared" ca="1" si="34"/>
        <v>3406223.54417925</v>
      </c>
      <c r="H189" s="43">
        <f t="shared" ca="1" si="39"/>
        <v>637.05508955250377</v>
      </c>
      <c r="I189" s="85">
        <f t="shared" si="35"/>
        <v>12</v>
      </c>
      <c r="J189" s="50"/>
      <c r="K189" s="24">
        <f t="shared" si="32"/>
        <v>0</v>
      </c>
      <c r="L189" s="62">
        <f t="shared" ca="1" si="33"/>
        <v>28337</v>
      </c>
      <c r="M189" s="44">
        <f>SUM($J$21:J189)</f>
        <v>0</v>
      </c>
      <c r="N189" s="44">
        <f>COUNT($B$21:B189)</f>
        <v>169</v>
      </c>
      <c r="O189" s="44">
        <f t="shared" si="36"/>
        <v>169</v>
      </c>
      <c r="P189" s="45"/>
    </row>
    <row r="190" spans="1:16" s="44" customFormat="1" x14ac:dyDescent="0.35">
      <c r="A190" s="55">
        <f t="shared" ca="1" si="38"/>
        <v>51023</v>
      </c>
      <c r="B190" s="39">
        <v>170</v>
      </c>
      <c r="C190" s="40">
        <f t="shared" ca="1" si="40"/>
        <v>12300.251687313958</v>
      </c>
      <c r="D190" s="24">
        <f t="shared" ca="1" si="41"/>
        <v>10218.670632537751</v>
      </c>
      <c r="E190" s="24">
        <f t="shared" ca="1" si="37"/>
        <v>1634.9873012060402</v>
      </c>
      <c r="F190" s="24">
        <f t="shared" ca="1" si="42"/>
        <v>3545.524462242005</v>
      </c>
      <c r="G190" s="132">
        <f t="shared" ca="1" si="34"/>
        <v>3406223.54417925</v>
      </c>
      <c r="H190" s="43">
        <f t="shared" ca="1" si="39"/>
        <v>637.05508955250377</v>
      </c>
      <c r="I190" s="85">
        <f t="shared" si="35"/>
        <v>11</v>
      </c>
      <c r="J190" s="50"/>
      <c r="K190" s="24">
        <f t="shared" si="32"/>
        <v>0</v>
      </c>
      <c r="L190" s="62">
        <f t="shared" ca="1" si="33"/>
        <v>28337</v>
      </c>
      <c r="M190" s="44">
        <f>SUM($J$21:J190)</f>
        <v>0</v>
      </c>
      <c r="N190" s="44">
        <f>COUNT($B$21:B190)</f>
        <v>170</v>
      </c>
      <c r="O190" s="44">
        <f t="shared" si="36"/>
        <v>170</v>
      </c>
      <c r="P190" s="45"/>
    </row>
    <row r="191" spans="1:16" s="44" customFormat="1" x14ac:dyDescent="0.35">
      <c r="A191" s="55">
        <f t="shared" ca="1" si="38"/>
        <v>51053</v>
      </c>
      <c r="B191" s="39">
        <v>171</v>
      </c>
      <c r="C191" s="40">
        <f t="shared" ca="1" si="40"/>
        <v>12300.251687313958</v>
      </c>
      <c r="D191" s="24">
        <f t="shared" ca="1" si="41"/>
        <v>10218.670632537751</v>
      </c>
      <c r="E191" s="24">
        <f t="shared" ca="1" si="37"/>
        <v>1634.9873012060402</v>
      </c>
      <c r="F191" s="24">
        <f t="shared" ca="1" si="42"/>
        <v>3545.524462242005</v>
      </c>
      <c r="G191" s="132">
        <f t="shared" ca="1" si="34"/>
        <v>3406223.54417925</v>
      </c>
      <c r="H191" s="43">
        <f t="shared" ca="1" si="39"/>
        <v>637.05508955250377</v>
      </c>
      <c r="I191" s="85">
        <f t="shared" si="35"/>
        <v>10</v>
      </c>
      <c r="J191" s="50"/>
      <c r="K191" s="24">
        <f t="shared" si="32"/>
        <v>0</v>
      </c>
      <c r="L191" s="62">
        <f t="shared" ca="1" si="33"/>
        <v>28337</v>
      </c>
      <c r="M191" s="44">
        <f>SUM($J$21:J191)</f>
        <v>0</v>
      </c>
      <c r="N191" s="44">
        <f>COUNT($B$21:B191)</f>
        <v>171</v>
      </c>
      <c r="O191" s="44">
        <f t="shared" si="36"/>
        <v>171</v>
      </c>
      <c r="P191" s="45"/>
    </row>
    <row r="192" spans="1:16" s="44" customFormat="1" x14ac:dyDescent="0.35">
      <c r="A192" s="55">
        <f t="shared" ca="1" si="38"/>
        <v>51084</v>
      </c>
      <c r="B192" s="39">
        <v>172</v>
      </c>
      <c r="C192" s="40">
        <f t="shared" ca="1" si="40"/>
        <v>12300.251687313958</v>
      </c>
      <c r="D192" s="24">
        <f t="shared" ca="1" si="41"/>
        <v>10218.670632537751</v>
      </c>
      <c r="E192" s="24">
        <f t="shared" ca="1" si="37"/>
        <v>1634.9873012060402</v>
      </c>
      <c r="F192" s="24">
        <f t="shared" ca="1" si="42"/>
        <v>3545.524462242005</v>
      </c>
      <c r="G192" s="132">
        <f t="shared" ca="1" si="34"/>
        <v>3406223.54417925</v>
      </c>
      <c r="H192" s="43">
        <f t="shared" ca="1" si="39"/>
        <v>637.05508955250377</v>
      </c>
      <c r="I192" s="85">
        <f t="shared" si="35"/>
        <v>9</v>
      </c>
      <c r="J192" s="50"/>
      <c r="K192" s="24">
        <f t="shared" si="32"/>
        <v>0</v>
      </c>
      <c r="L192" s="62">
        <f t="shared" ca="1" si="33"/>
        <v>28337</v>
      </c>
      <c r="M192" s="44">
        <f>SUM($J$21:J192)</f>
        <v>0</v>
      </c>
      <c r="N192" s="44">
        <f>COUNT($B$21:B192)</f>
        <v>172</v>
      </c>
      <c r="O192" s="44">
        <f t="shared" si="36"/>
        <v>172</v>
      </c>
      <c r="P192" s="45"/>
    </row>
    <row r="193" spans="1:16" s="44" customFormat="1" x14ac:dyDescent="0.35">
      <c r="A193" s="55">
        <f t="shared" ca="1" si="38"/>
        <v>51114</v>
      </c>
      <c r="B193" s="39">
        <v>173</v>
      </c>
      <c r="C193" s="40">
        <f t="shared" ca="1" si="40"/>
        <v>12300.251687313958</v>
      </c>
      <c r="D193" s="24">
        <f t="shared" ca="1" si="41"/>
        <v>10218.670632537751</v>
      </c>
      <c r="E193" s="24">
        <f t="shared" ca="1" si="37"/>
        <v>1634.9873012060402</v>
      </c>
      <c r="F193" s="24">
        <f t="shared" ca="1" si="42"/>
        <v>3545.524462242005</v>
      </c>
      <c r="G193" s="132">
        <f t="shared" ca="1" si="34"/>
        <v>3406223.54417925</v>
      </c>
      <c r="H193" s="43">
        <f t="shared" ca="1" si="39"/>
        <v>637.05508955250377</v>
      </c>
      <c r="I193" s="85">
        <f t="shared" si="35"/>
        <v>8</v>
      </c>
      <c r="J193" s="50"/>
      <c r="K193" s="24">
        <f t="shared" si="32"/>
        <v>0</v>
      </c>
      <c r="L193" s="62">
        <f t="shared" ca="1" si="33"/>
        <v>28337</v>
      </c>
      <c r="M193" s="44">
        <f>SUM($J$21:J193)</f>
        <v>0</v>
      </c>
      <c r="N193" s="44">
        <f>COUNT($B$21:B193)</f>
        <v>173</v>
      </c>
      <c r="O193" s="44">
        <f t="shared" si="36"/>
        <v>173</v>
      </c>
      <c r="P193" s="45"/>
    </row>
    <row r="194" spans="1:16" s="44" customFormat="1" x14ac:dyDescent="0.35">
      <c r="A194" s="55">
        <f t="shared" ca="1" si="38"/>
        <v>51145</v>
      </c>
      <c r="B194" s="39">
        <v>174</v>
      </c>
      <c r="C194" s="40">
        <f t="shared" ca="1" si="40"/>
        <v>12730.760496369945</v>
      </c>
      <c r="D194" s="24">
        <f t="shared" ca="1" si="41"/>
        <v>10576.324104676571</v>
      </c>
      <c r="E194" s="24">
        <f t="shared" ca="1" si="37"/>
        <v>1692.2118567482514</v>
      </c>
      <c r="F194" s="24">
        <f t="shared" ca="1" si="42"/>
        <v>3669.6178184204741</v>
      </c>
      <c r="G194" s="132">
        <f t="shared" ca="1" si="34"/>
        <v>3525441.3682255233</v>
      </c>
      <c r="H194" s="43">
        <f t="shared" ca="1" si="39"/>
        <v>659.35201768684124</v>
      </c>
      <c r="I194" s="85">
        <f t="shared" si="35"/>
        <v>7</v>
      </c>
      <c r="J194" s="50"/>
      <c r="K194" s="24">
        <f t="shared" si="32"/>
        <v>0</v>
      </c>
      <c r="L194" s="62">
        <f t="shared" ca="1" si="33"/>
        <v>29329</v>
      </c>
      <c r="M194" s="44">
        <f>SUM($J$21:J194)</f>
        <v>0</v>
      </c>
      <c r="N194" s="44">
        <f>COUNT($B$21:B194)</f>
        <v>174</v>
      </c>
      <c r="O194" s="44">
        <f t="shared" si="36"/>
        <v>174</v>
      </c>
      <c r="P194" s="45"/>
    </row>
    <row r="195" spans="1:16" s="44" customFormat="1" x14ac:dyDescent="0.35">
      <c r="A195" s="55">
        <f t="shared" ca="1" si="38"/>
        <v>51176</v>
      </c>
      <c r="B195" s="39">
        <v>175</v>
      </c>
      <c r="C195" s="40">
        <f t="shared" ca="1" si="40"/>
        <v>12730.760496369945</v>
      </c>
      <c r="D195" s="24">
        <f t="shared" ca="1" si="41"/>
        <v>10576.324104676571</v>
      </c>
      <c r="E195" s="24">
        <f t="shared" ca="1" si="37"/>
        <v>1692.2118567482514</v>
      </c>
      <c r="F195" s="24">
        <f t="shared" ca="1" si="42"/>
        <v>3669.6178184204741</v>
      </c>
      <c r="G195" s="132">
        <f t="shared" ca="1" si="34"/>
        <v>3525441.3682255233</v>
      </c>
      <c r="H195" s="43">
        <f t="shared" ca="1" si="39"/>
        <v>659.35201768684124</v>
      </c>
      <c r="I195" s="85">
        <f t="shared" si="35"/>
        <v>6</v>
      </c>
      <c r="J195" s="50"/>
      <c r="K195" s="24">
        <f t="shared" si="32"/>
        <v>0</v>
      </c>
      <c r="L195" s="62">
        <f t="shared" ca="1" si="33"/>
        <v>29329</v>
      </c>
      <c r="M195" s="44">
        <f>SUM($J$21:J195)</f>
        <v>0</v>
      </c>
      <c r="N195" s="44">
        <f>COUNT($B$21:B195)</f>
        <v>175</v>
      </c>
      <c r="O195" s="44">
        <f t="shared" si="36"/>
        <v>175</v>
      </c>
      <c r="P195" s="45"/>
    </row>
    <row r="196" spans="1:16" s="44" customFormat="1" x14ac:dyDescent="0.35">
      <c r="A196" s="55">
        <f t="shared" ca="1" si="38"/>
        <v>51205</v>
      </c>
      <c r="B196" s="39">
        <v>176</v>
      </c>
      <c r="C196" s="40">
        <f t="shared" ca="1" si="40"/>
        <v>12730.760496369945</v>
      </c>
      <c r="D196" s="24">
        <f t="shared" ca="1" si="41"/>
        <v>10576.324104676571</v>
      </c>
      <c r="E196" s="24">
        <f t="shared" ca="1" si="37"/>
        <v>1692.2118567482514</v>
      </c>
      <c r="F196" s="24">
        <f t="shared" ca="1" si="42"/>
        <v>3669.6178184204741</v>
      </c>
      <c r="G196" s="132">
        <f t="shared" ca="1" si="34"/>
        <v>3525441.3682255233</v>
      </c>
      <c r="H196" s="43">
        <f t="shared" ca="1" si="39"/>
        <v>659.35201768684124</v>
      </c>
      <c r="I196" s="85">
        <f t="shared" si="35"/>
        <v>5</v>
      </c>
      <c r="J196" s="50"/>
      <c r="K196" s="24">
        <f t="shared" si="32"/>
        <v>0</v>
      </c>
      <c r="L196" s="62">
        <f t="shared" ca="1" si="33"/>
        <v>29329</v>
      </c>
      <c r="M196" s="44">
        <f>SUM($J$21:J196)</f>
        <v>0</v>
      </c>
      <c r="N196" s="44">
        <f>COUNT($B$21:B196)</f>
        <v>176</v>
      </c>
      <c r="O196" s="44">
        <f t="shared" si="36"/>
        <v>176</v>
      </c>
      <c r="P196" s="45"/>
    </row>
    <row r="197" spans="1:16" s="44" customFormat="1" x14ac:dyDescent="0.35">
      <c r="A197" s="55">
        <f t="shared" ca="1" si="38"/>
        <v>51236</v>
      </c>
      <c r="B197" s="39">
        <v>177</v>
      </c>
      <c r="C197" s="40">
        <f t="shared" ca="1" si="40"/>
        <v>12730.760496369945</v>
      </c>
      <c r="D197" s="24">
        <f t="shared" ca="1" si="41"/>
        <v>10576.324104676571</v>
      </c>
      <c r="E197" s="24">
        <f t="shared" ca="1" si="37"/>
        <v>1692.2118567482514</v>
      </c>
      <c r="F197" s="24">
        <f t="shared" ca="1" si="42"/>
        <v>3669.6178184204741</v>
      </c>
      <c r="G197" s="132">
        <f t="shared" ca="1" si="34"/>
        <v>3525441.3682255233</v>
      </c>
      <c r="H197" s="43">
        <f t="shared" ca="1" si="39"/>
        <v>659.35201768684124</v>
      </c>
      <c r="I197" s="85">
        <f t="shared" si="35"/>
        <v>4</v>
      </c>
      <c r="J197" s="50"/>
      <c r="K197" s="24">
        <f t="shared" si="32"/>
        <v>0</v>
      </c>
      <c r="L197" s="62">
        <f t="shared" ca="1" si="33"/>
        <v>29329</v>
      </c>
      <c r="M197" s="44">
        <f>SUM($J$21:J197)</f>
        <v>0</v>
      </c>
      <c r="N197" s="44">
        <f>COUNT($B$21:B197)</f>
        <v>177</v>
      </c>
      <c r="O197" s="44">
        <f t="shared" si="36"/>
        <v>177</v>
      </c>
      <c r="P197" s="45"/>
    </row>
    <row r="198" spans="1:16" s="44" customFormat="1" x14ac:dyDescent="0.35">
      <c r="A198" s="55">
        <f t="shared" ca="1" si="38"/>
        <v>51266</v>
      </c>
      <c r="B198" s="39">
        <v>178</v>
      </c>
      <c r="C198" s="40">
        <f t="shared" ca="1" si="40"/>
        <v>12730.760496369945</v>
      </c>
      <c r="D198" s="24">
        <f t="shared" ca="1" si="41"/>
        <v>10576.324104676571</v>
      </c>
      <c r="E198" s="24">
        <f t="shared" ca="1" si="37"/>
        <v>1692.2118567482514</v>
      </c>
      <c r="F198" s="24">
        <f t="shared" ca="1" si="42"/>
        <v>3669.6178184204741</v>
      </c>
      <c r="G198" s="132">
        <f t="shared" ca="1" si="34"/>
        <v>3525441.3682255233</v>
      </c>
      <c r="H198" s="43">
        <f t="shared" ca="1" si="39"/>
        <v>659.35201768684124</v>
      </c>
      <c r="I198" s="85">
        <f t="shared" si="35"/>
        <v>3</v>
      </c>
      <c r="J198" s="50"/>
      <c r="K198" s="24">
        <f t="shared" si="32"/>
        <v>0</v>
      </c>
      <c r="L198" s="62">
        <f t="shared" ca="1" si="33"/>
        <v>29329</v>
      </c>
      <c r="M198" s="44">
        <f>SUM($J$21:J198)</f>
        <v>0</v>
      </c>
      <c r="N198" s="44">
        <f>COUNT($B$21:B198)</f>
        <v>178</v>
      </c>
      <c r="O198" s="44">
        <f t="shared" si="36"/>
        <v>178</v>
      </c>
      <c r="P198" s="45"/>
    </row>
    <row r="199" spans="1:16" s="44" customFormat="1" x14ac:dyDescent="0.35">
      <c r="A199" s="55">
        <f t="shared" ca="1" si="38"/>
        <v>51297</v>
      </c>
      <c r="B199" s="39">
        <v>179</v>
      </c>
      <c r="C199" s="40">
        <f t="shared" ca="1" si="40"/>
        <v>12730.760496369945</v>
      </c>
      <c r="D199" s="24">
        <f t="shared" ca="1" si="41"/>
        <v>10576.324104676571</v>
      </c>
      <c r="E199" s="24">
        <f t="shared" ca="1" si="37"/>
        <v>1692.2118567482514</v>
      </c>
      <c r="F199" s="24">
        <f t="shared" ca="1" si="42"/>
        <v>3669.6178184204741</v>
      </c>
      <c r="G199" s="132">
        <f t="shared" ca="1" si="34"/>
        <v>3525441.3682255233</v>
      </c>
      <c r="H199" s="43">
        <f t="shared" ca="1" si="39"/>
        <v>659.35201768684124</v>
      </c>
      <c r="I199" s="85">
        <f t="shared" si="35"/>
        <v>2</v>
      </c>
      <c r="J199" s="50"/>
      <c r="K199" s="24">
        <f t="shared" si="32"/>
        <v>0</v>
      </c>
      <c r="L199" s="62">
        <f t="shared" ca="1" si="33"/>
        <v>29329</v>
      </c>
      <c r="M199" s="44">
        <f>SUM($J$21:J199)</f>
        <v>0</v>
      </c>
      <c r="N199" s="44">
        <f>COUNT($B$21:B199)</f>
        <v>179</v>
      </c>
      <c r="O199" s="44">
        <f t="shared" si="36"/>
        <v>179</v>
      </c>
      <c r="P199" s="45"/>
    </row>
    <row r="200" spans="1:16" s="44" customFormat="1" ht="15" thickBot="1" x14ac:dyDescent="0.4">
      <c r="A200" s="61">
        <f t="shared" ca="1" si="38"/>
        <v>51327</v>
      </c>
      <c r="B200" s="46">
        <v>180</v>
      </c>
      <c r="C200" s="74">
        <f t="shared" ca="1" si="40"/>
        <v>13176.337113742893</v>
      </c>
      <c r="D200" s="75">
        <f t="shared" ca="1" si="41"/>
        <v>10946.495448340249</v>
      </c>
      <c r="E200" s="75">
        <f t="shared" ca="1" si="37"/>
        <v>1751.4392717344399</v>
      </c>
      <c r="F200" s="75">
        <f t="shared" ca="1" si="42"/>
        <v>3798.0544420651904</v>
      </c>
      <c r="G200" s="133">
        <f t="shared" ca="1" si="34"/>
        <v>3648831.8161134161</v>
      </c>
      <c r="H200" s="47">
        <f t="shared" ca="1" si="39"/>
        <v>682.42933830588061</v>
      </c>
      <c r="I200" s="86">
        <f t="shared" si="35"/>
        <v>0</v>
      </c>
      <c r="J200" s="76"/>
      <c r="K200" s="75">
        <f t="shared" si="32"/>
        <v>0</v>
      </c>
      <c r="L200" s="77">
        <f t="shared" ca="1" si="33"/>
        <v>30355</v>
      </c>
      <c r="M200" s="44">
        <f>SUM($J$21:J200)</f>
        <v>0</v>
      </c>
      <c r="N200" s="44">
        <f>COUNT($B$21:B200)</f>
        <v>180</v>
      </c>
      <c r="O200" s="44">
        <f t="shared" si="36"/>
        <v>180</v>
      </c>
      <c r="P200" s="45"/>
    </row>
    <row r="201" spans="1:16" s="3" customFormat="1" x14ac:dyDescent="0.35">
      <c r="A201" s="2"/>
      <c r="B201" s="134"/>
      <c r="C201" s="11"/>
      <c r="D201" s="135"/>
      <c r="E201" s="135"/>
      <c r="F201" s="2"/>
      <c r="G201" s="129"/>
      <c r="H201" s="2"/>
      <c r="I201" s="2"/>
      <c r="P201" s="12"/>
    </row>
    <row r="202" spans="1:16" s="3" customFormat="1" x14ac:dyDescent="0.35">
      <c r="A202" s="2"/>
      <c r="B202" s="134"/>
      <c r="C202" s="11"/>
      <c r="D202" s="135"/>
      <c r="E202" s="135"/>
      <c r="F202" s="2"/>
      <c r="G202" s="129"/>
      <c r="H202" s="2"/>
      <c r="I202" s="2"/>
      <c r="P202" s="12"/>
    </row>
    <row r="203" spans="1:16" s="3" customFormat="1" x14ac:dyDescent="0.35">
      <c r="A203" s="2"/>
      <c r="B203" s="134"/>
      <c r="C203" s="11"/>
      <c r="D203" s="135"/>
      <c r="E203" s="135"/>
      <c r="F203" s="2"/>
      <c r="G203" s="129"/>
      <c r="H203" s="2"/>
      <c r="I203" s="2"/>
      <c r="P203" s="12"/>
    </row>
    <row r="204" spans="1:16" s="3" customFormat="1" x14ac:dyDescent="0.35">
      <c r="A204" s="2"/>
      <c r="B204" s="89"/>
      <c r="C204" s="136"/>
      <c r="D204" s="136"/>
      <c r="E204" s="80"/>
      <c r="F204" s="136"/>
      <c r="G204" s="137"/>
      <c r="H204" s="80"/>
      <c r="I204" s="80"/>
      <c r="K204" s="136"/>
      <c r="L204" s="136"/>
      <c r="P204" s="12"/>
    </row>
    <row r="205" spans="1:16" x14ac:dyDescent="0.35">
      <c r="L205" s="73"/>
    </row>
    <row r="206" spans="1:16" x14ac:dyDescent="0.35">
      <c r="B206" s="233" t="s">
        <v>39</v>
      </c>
      <c r="C206" s="233"/>
      <c r="D206" s="233"/>
      <c r="E206" s="233"/>
      <c r="F206" s="233"/>
      <c r="G206" s="233"/>
      <c r="H206" s="233"/>
      <c r="I206" s="233"/>
      <c r="J206" s="233"/>
      <c r="K206" s="233"/>
      <c r="L206" s="233"/>
    </row>
    <row r="207" spans="1:16" x14ac:dyDescent="0.35">
      <c r="B207" s="233"/>
      <c r="C207" s="233"/>
      <c r="D207" s="233"/>
      <c r="E207" s="233"/>
      <c r="F207" s="233"/>
      <c r="G207" s="233"/>
      <c r="H207" s="233"/>
      <c r="I207" s="233"/>
      <c r="J207" s="233"/>
      <c r="K207" s="233"/>
      <c r="L207" s="233"/>
    </row>
  </sheetData>
  <sheetProtection algorithmName="SHA-512" hashValue="tHf1WkmDWnb9141Bs49h7FZfsmjvZofryjp7e1YJNQpZk9DA/juDO/VVCe8hMarglmUCy1quhla9pRNVebzwhg==" saltValue="GAOuwx+98tpx59nzBxjZhg==" spinCount="100000" sheet="1" objects="1" scenarios="1"/>
  <mergeCells count="12">
    <mergeCell ref="E10:J10"/>
    <mergeCell ref="B206:L207"/>
    <mergeCell ref="B17:C17"/>
    <mergeCell ref="E11:J12"/>
    <mergeCell ref="E4:J4"/>
    <mergeCell ref="H7:I7"/>
    <mergeCell ref="H8:I8"/>
    <mergeCell ref="E6:F6"/>
    <mergeCell ref="E7:F7"/>
    <mergeCell ref="E8:F8"/>
    <mergeCell ref="E9:F9"/>
    <mergeCell ref="H9:I9"/>
  </mergeCells>
  <dataValidations disablePrompts="1" count="1">
    <dataValidation type="list" allowBlank="1" showInputMessage="1" showErrorMessage="1" sqref="C14" xr:uid="{00000000-0002-0000-0200-000000000000}">
      <formula1>$A$6:$A$10</formula1>
    </dataValidation>
  </dataValidations>
  <pageMargins left="0.25" right="0.25" top="0.31" bottom="0.33" header="0.3" footer="0.3"/>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SIMULADOR</vt:lpstr>
      <vt:lpstr>TABLA PLAN PREVENTA</vt:lpstr>
      <vt:lpstr>SIMULADOR!Área_de_impresión</vt:lpstr>
      <vt:lpstr>'TABLA PLAN PREVENTA'!Área_de_impresión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yurit_000</dc:creator>
  <cp:lastModifiedBy>Israel Hernandez Rios</cp:lastModifiedBy>
  <cp:lastPrinted>2025-06-09T20:56:11Z</cp:lastPrinted>
  <dcterms:created xsi:type="dcterms:W3CDTF">2013-07-18T03:49:05Z</dcterms:created>
  <dcterms:modified xsi:type="dcterms:W3CDTF">2025-08-11T01:56:22Z</dcterms:modified>
</cp:coreProperties>
</file>